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ASE_DATOS" sheetId="1" state="visible" r:id="rId1"/>
    <sheet xmlns:r="http://schemas.openxmlformats.org/officeDocument/2006/relationships" name="ENERO" sheetId="2" state="visible" r:id="rId2"/>
    <sheet xmlns:r="http://schemas.openxmlformats.org/officeDocument/2006/relationships" name="FEBRERO" sheetId="3" state="visible" r:id="rId3"/>
    <sheet xmlns:r="http://schemas.openxmlformats.org/officeDocument/2006/relationships" name="MARZO" sheetId="4" state="visible" r:id="rId4"/>
    <sheet xmlns:r="http://schemas.openxmlformats.org/officeDocument/2006/relationships" name="ABRIL" sheetId="5" state="visible" r:id="rId5"/>
    <sheet xmlns:r="http://schemas.openxmlformats.org/officeDocument/2006/relationships" name="MAYO" sheetId="6" state="visible" r:id="rId6"/>
    <sheet xmlns:r="http://schemas.openxmlformats.org/officeDocument/2006/relationships" name="JUNIO" sheetId="7" state="visible" r:id="rId7"/>
    <sheet xmlns:r="http://schemas.openxmlformats.org/officeDocument/2006/relationships" name="JULIO" sheetId="8" state="visible" r:id="rId8"/>
    <sheet xmlns:r="http://schemas.openxmlformats.org/officeDocument/2006/relationships" name="AGOSTO" sheetId="9" state="visible" r:id="rId9"/>
    <sheet xmlns:r="http://schemas.openxmlformats.org/officeDocument/2006/relationships" name="SEPTIEMBRE" sheetId="10" state="visible" r:id="rId10"/>
    <sheet xmlns:r="http://schemas.openxmlformats.org/officeDocument/2006/relationships" name="OCTUBRE" sheetId="11" state="visible" r:id="rId11"/>
    <sheet xmlns:r="http://schemas.openxmlformats.org/officeDocument/2006/relationships" name="NOVIEMBRE" sheetId="12" state="visible" r:id="rId12"/>
    <sheet xmlns:r="http://schemas.openxmlformats.org/officeDocument/2006/relationships" name="DICIEMBRE" sheetId="13" state="visible" r:id="rId13"/>
    <sheet xmlns:r="http://schemas.openxmlformats.org/officeDocument/2006/relationships" name="DASHBOARD" sheetId="14" state="visible" r:id="rId1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</font>
    <font>
      <b val="1"/>
      <color rgb="00C46A4A"/>
      <sz val="14"/>
    </font>
    <font>
      <b val="1"/>
    </font>
    <font>
      <b val="1"/>
      <color rgb="00C46A4A"/>
      <sz val="16"/>
    </font>
  </fonts>
  <fills count="5">
    <fill>
      <patternFill/>
    </fill>
    <fill>
      <patternFill patternType="gray125"/>
    </fill>
    <fill>
      <patternFill patternType="solid">
        <fgColor rgb="00C46A4A"/>
      </patternFill>
    </fill>
    <fill>
      <patternFill patternType="solid">
        <fgColor rgb="008C8177"/>
      </patternFill>
    </fill>
    <fill>
      <patternFill patternType="solid">
        <fgColor rgb="00F9F7F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/>
    </xf>
    <xf numFmtId="0" fontId="0" fillId="0" borderId="1" pivotButton="0" quotePrefix="0" xfId="0"/>
    <xf numFmtId="0" fontId="2" fillId="0" borderId="0" pivotButton="0" quotePrefix="0" xfId="0"/>
    <xf numFmtId="0" fontId="1" fillId="2" borderId="1" applyAlignment="1" pivotButton="0" quotePrefix="0" xfId="0">
      <alignment horizontal="center"/>
    </xf>
    <xf numFmtId="0" fontId="1" fillId="4" borderId="1" pivotButton="0" quotePrefix="0" xfId="0"/>
    <xf numFmtId="0" fontId="0" fillId="4" borderId="1" pivotButton="0" quotePrefix="0" xfId="0"/>
    <xf numFmtId="0" fontId="1" fillId="3" borderId="1" pivotButton="0" quotePrefix="0" xfId="0"/>
    <xf numFmtId="0" fontId="3" fillId="4" borderId="1" pivotButton="0" quotePrefix="0" xfId="0"/>
    <xf numFmtId="0" fontId="3" fillId="0" borderId="1" pivotButton="0" quotePrefix="0" xfId="0"/>
    <xf numFmtId="0" fontId="4" fillId="0" borderId="0" pivotButton="0" quotePrefix="0" xfId="0"/>
    <xf numFmtId="0" fontId="3" fillId="0" borderId="0" pivotButton="0" quotePrefix="0" xfId="0"/>
    <xf numFmtId="0" fontId="1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styles" Target="styles.xml" Id="rId15"/><Relationship Type="http://schemas.openxmlformats.org/officeDocument/2006/relationships/theme" Target="theme/theme1.xml" Id="rId1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Ingresos vs Egresos por Mes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'DASHBOARD'!B11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'DASHBOARD'!$A$12:$A$23</f>
            </numRef>
          </cat>
          <val>
            <numRef>
              <f>'DASHBOARD'!$B$12:$B$23</f>
            </numRef>
          </val>
        </ser>
        <ser>
          <idx val="1"/>
          <order val="1"/>
          <tx>
            <strRef>
              <f>'DASHBOARD'!C11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'DASHBOARD'!$A$12:$A$23</f>
            </numRef>
          </cat>
          <val>
            <numRef>
              <f>'DASHBOARD'!$C$12:$C$23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Monto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de ingresos por categoría</a:t>
            </a:r>
          </a:p>
        </rich>
      </tx>
    </title>
    <plotArea>
      <pieChart>
        <varyColors val="1"/>
        <ser>
          <idx val="0"/>
          <order val="0"/>
          <tx>
            <strRef>
              <f>'DASHBOARD'!G11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'DASHBOARD'!$F$12:$F$17</f>
            </numRef>
          </cat>
          <val>
            <numRef>
              <f>'DASHBOARD'!$G$12:$G$17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de gastos por categoría</a:t>
            </a:r>
          </a:p>
        </rich>
      </tx>
    </title>
    <plotArea>
      <pieChart>
        <varyColors val="1"/>
        <ser>
          <idx val="0"/>
          <order val="0"/>
          <tx>
            <strRef>
              <f>'DASHBOARD'!J11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'DASHBOARD'!$I$12:$I$22</f>
            </numRef>
          </cat>
          <val>
            <numRef>
              <f>'DASHBOARD'!$J$12:$J$22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24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24</row>
      <rowOff>0</rowOff>
    </from>
    <ext cx="54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11</col>
      <colOff>0</colOff>
      <row>24</row>
      <rowOff>0</rowOff>
    </from>
    <ext cx="5400000" cy="36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>
      <c r="A1" s="1" t="inlineStr">
        <is>
          <t>MES</t>
        </is>
      </c>
      <c r="B1" s="1" t="inlineStr">
        <is>
          <t>FECHA</t>
        </is>
      </c>
      <c r="C1" s="1" t="inlineStr">
        <is>
          <t>TIPO</t>
        </is>
      </c>
      <c r="D1" s="1" t="inlineStr">
        <is>
          <t>CATEGORIA</t>
        </is>
      </c>
      <c r="E1" s="1" t="inlineStr">
        <is>
          <t>DESCRIPCION</t>
        </is>
      </c>
      <c r="F1" s="1" t="inlineStr">
        <is>
          <t>MONTO</t>
        </is>
      </c>
    </row>
    <row r="2">
      <c r="A2" s="2" t="inlineStr">
        <is>
          <t>Enero</t>
        </is>
      </c>
      <c r="B2" s="2" t="inlineStr">
        <is>
          <t>2025-01-01</t>
        </is>
      </c>
      <c r="C2" s="2" t="inlineStr">
        <is>
          <t>INGRESO</t>
        </is>
      </c>
      <c r="D2" s="2" t="inlineStr">
        <is>
          <t>Ventas (productos)</t>
        </is>
      </c>
      <c r="E2" s="2" t="inlineStr">
        <is>
          <t>Venta producto A</t>
        </is>
      </c>
      <c r="F2" s="2" t="n">
        <v>1500</v>
      </c>
    </row>
    <row r="3">
      <c r="A3" s="2" t="inlineStr">
        <is>
          <t>Enero</t>
        </is>
      </c>
      <c r="B3" s="2" t="inlineStr">
        <is>
          <t>2025-01-02</t>
        </is>
      </c>
      <c r="C3" s="2" t="inlineStr">
        <is>
          <t>EGRESO</t>
        </is>
      </c>
      <c r="D3" s="2" t="inlineStr">
        <is>
          <t>Inventario</t>
        </is>
      </c>
      <c r="E3" s="2" t="inlineStr">
        <is>
          <t>Compra materia prima</t>
        </is>
      </c>
      <c r="F3" s="2" t="n">
        <v>400</v>
      </c>
    </row>
    <row r="4">
      <c r="A4" s="2" t="inlineStr">
        <is>
          <t>Enero</t>
        </is>
      </c>
      <c r="B4" s="2" t="inlineStr">
        <is>
          <t>2025-01-03</t>
        </is>
      </c>
      <c r="C4" s="2" t="inlineStr">
        <is>
          <t>INGRESO</t>
        </is>
      </c>
      <c r="D4" s="2" t="inlineStr">
        <is>
          <t>Servicios profesionales</t>
        </is>
      </c>
      <c r="E4" s="2" t="inlineStr">
        <is>
          <t>Servicio de consultoría</t>
        </is>
      </c>
      <c r="F4" s="2" t="n">
        <v>800</v>
      </c>
    </row>
    <row r="5">
      <c r="A5" s="2" t="inlineStr">
        <is>
          <t>Enero</t>
        </is>
      </c>
      <c r="B5" s="2" t="inlineStr">
        <is>
          <t>2025-01-04</t>
        </is>
      </c>
      <c r="C5" s="2" t="inlineStr">
        <is>
          <t>EGRESO</t>
        </is>
      </c>
      <c r="D5" s="2" t="inlineStr">
        <is>
          <t>Marketing / Ads</t>
        </is>
      </c>
      <c r="E5" s="2" t="inlineStr">
        <is>
          <t>Facebook Ads</t>
        </is>
      </c>
      <c r="F5" s="2" t="n">
        <v>300</v>
      </c>
    </row>
    <row r="6">
      <c r="A6" s="2" t="inlineStr">
        <is>
          <t>Enero</t>
        </is>
      </c>
      <c r="B6" s="2" t="inlineStr">
        <is>
          <t>2025-01-05</t>
        </is>
      </c>
      <c r="C6" s="2" t="inlineStr">
        <is>
          <t>EGRESO</t>
        </is>
      </c>
      <c r="D6" s="2" t="inlineStr">
        <is>
          <t>Servicios (luz/agua/internet)</t>
        </is>
      </c>
      <c r="E6" s="2" t="inlineStr">
        <is>
          <t>Luz y agua</t>
        </is>
      </c>
      <c r="F6" s="2" t="n">
        <v>350</v>
      </c>
    </row>
    <row r="7">
      <c r="A7" s="2" t="inlineStr">
        <is>
          <t>Febrero</t>
        </is>
      </c>
      <c r="B7" s="2" t="inlineStr">
        <is>
          <t>2025-02-01</t>
        </is>
      </c>
      <c r="C7" s="2" t="inlineStr">
        <is>
          <t>INGRESO</t>
        </is>
      </c>
      <c r="D7" s="2" t="inlineStr">
        <is>
          <t>Ventas (productos)</t>
        </is>
      </c>
      <c r="E7" s="2" t="inlineStr">
        <is>
          <t>Venta producto B</t>
        </is>
      </c>
      <c r="F7" s="2" t="n">
        <v>1800</v>
      </c>
    </row>
    <row r="8">
      <c r="A8" s="2" t="inlineStr">
        <is>
          <t>Febrero</t>
        </is>
      </c>
      <c r="B8" s="2" t="inlineStr">
        <is>
          <t>2025-02-02</t>
        </is>
      </c>
      <c r="C8" s="2" t="inlineStr">
        <is>
          <t>EGRESO</t>
        </is>
      </c>
      <c r="D8" s="2" t="inlineStr">
        <is>
          <t>Inventario</t>
        </is>
      </c>
      <c r="E8" s="2" t="inlineStr">
        <is>
          <t>Reposición inventario</t>
        </is>
      </c>
      <c r="F8" s="2" t="n">
        <v>600</v>
      </c>
    </row>
    <row r="9">
      <c r="A9" s="2" t="inlineStr">
        <is>
          <t>Febrero</t>
        </is>
      </c>
      <c r="B9" s="2" t="inlineStr">
        <is>
          <t>2025-02-03</t>
        </is>
      </c>
      <c r="C9" s="2" t="inlineStr">
        <is>
          <t>INGRESO</t>
        </is>
      </c>
      <c r="D9" s="2" t="inlineStr">
        <is>
          <t>Servicios profesionales</t>
        </is>
      </c>
      <c r="E9" s="2" t="inlineStr">
        <is>
          <t>Asesoría</t>
        </is>
      </c>
      <c r="F9" s="2" t="n">
        <v>900</v>
      </c>
    </row>
    <row r="10">
      <c r="A10" s="2" t="inlineStr">
        <is>
          <t>Febrero</t>
        </is>
      </c>
      <c r="B10" s="2" t="inlineStr">
        <is>
          <t>2025-02-04</t>
        </is>
      </c>
      <c r="C10" s="2" t="inlineStr">
        <is>
          <t>EGRESO</t>
        </is>
      </c>
      <c r="D10" s="2" t="inlineStr">
        <is>
          <t>Marketing / Ads</t>
        </is>
      </c>
      <c r="E10" s="2" t="inlineStr">
        <is>
          <t>Google Ads</t>
        </is>
      </c>
      <c r="F10" s="2" t="n">
        <v>250</v>
      </c>
    </row>
    <row r="11">
      <c r="A11" s="2" t="inlineStr">
        <is>
          <t>Marzo</t>
        </is>
      </c>
      <c r="B11" s="2" t="inlineStr">
        <is>
          <t>2025-03-01</t>
        </is>
      </c>
      <c r="C11" s="2" t="inlineStr">
        <is>
          <t>INGRESO</t>
        </is>
      </c>
      <c r="D11" s="2" t="inlineStr">
        <is>
          <t>Ventas (productos)</t>
        </is>
      </c>
      <c r="E11" s="2" t="inlineStr">
        <is>
          <t>Venta producto C</t>
        </is>
      </c>
      <c r="F11" s="2" t="n">
        <v>2000</v>
      </c>
    </row>
    <row r="12">
      <c r="A12" s="2" t="inlineStr">
        <is>
          <t>Marzo</t>
        </is>
      </c>
      <c r="B12" s="2" t="inlineStr">
        <is>
          <t>2025-03-02</t>
        </is>
      </c>
      <c r="C12" s="2" t="inlineStr">
        <is>
          <t>EGRESO</t>
        </is>
      </c>
      <c r="D12" s="2" t="inlineStr">
        <is>
          <t>Servicios (luz/agua/internet)</t>
        </is>
      </c>
      <c r="E12" s="2" t="inlineStr">
        <is>
          <t>Internet</t>
        </is>
      </c>
      <c r="F12" s="2" t="n">
        <v>450</v>
      </c>
    </row>
    <row r="13">
      <c r="A13" s="2" t="inlineStr">
        <is>
          <t>Marzo</t>
        </is>
      </c>
      <c r="B13" s="2" t="inlineStr">
        <is>
          <t>2025-03-03</t>
        </is>
      </c>
      <c r="C13" s="2" t="inlineStr">
        <is>
          <t>EGRESO</t>
        </is>
      </c>
      <c r="D13" s="2" t="inlineStr">
        <is>
          <t>Marketing / Ads</t>
        </is>
      </c>
      <c r="E13" s="2" t="inlineStr">
        <is>
          <t>Instagram Ads</t>
        </is>
      </c>
      <c r="F13" s="2" t="n">
        <v>300</v>
      </c>
    </row>
    <row r="14">
      <c r="A14" s="2" t="inlineStr">
        <is>
          <t>Marzo</t>
        </is>
      </c>
      <c r="B14" s="2" t="inlineStr">
        <is>
          <t>2025-03-04</t>
        </is>
      </c>
      <c r="C14" s="2" t="inlineStr">
        <is>
          <t>INGRESO</t>
        </is>
      </c>
      <c r="D14" s="2" t="inlineStr">
        <is>
          <t>Servicios profesionales</t>
        </is>
      </c>
      <c r="E14" s="2" t="inlineStr">
        <is>
          <t>Coaching</t>
        </is>
      </c>
      <c r="F14" s="2" t="n">
        <v>1200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D29"/>
  <sheetViews>
    <sheetView workbookViewId="0">
      <selection activeCell="A1" sqref="A1"/>
    </sheetView>
  </sheetViews>
  <sheetFormatPr baseColWidth="8" defaultRowHeight="15"/>
  <cols>
    <col width="26" customWidth="1" min="1" max="1"/>
    <col width="26" customWidth="1" min="2" max="2"/>
    <col width="26" customWidth="1" min="3" max="3"/>
  </cols>
  <sheetData>
    <row r="1">
      <c r="A1" s="3" t="inlineStr">
        <is>
          <t>FLUJO DE CAJA - Septiembre</t>
        </is>
      </c>
    </row>
    <row r="3">
      <c r="A3" s="4" t="inlineStr">
        <is>
          <t>CATEGORÍA</t>
        </is>
      </c>
      <c r="B3" s="4" t="inlineStr">
        <is>
          <t>INGRESOS</t>
        </is>
      </c>
      <c r="C3" s="4" t="inlineStr">
        <is>
          <t>EGRESOS</t>
        </is>
      </c>
    </row>
    <row r="4">
      <c r="A4" s="5" t="inlineStr">
        <is>
          <t>INGRESOS</t>
        </is>
      </c>
      <c r="B4" s="6" t="n"/>
      <c r="C4" s="6" t="n"/>
    </row>
    <row r="5">
      <c r="A5" s="2" t="inlineStr">
        <is>
          <t>Ventas (productos)</t>
        </is>
      </c>
      <c r="B5" s="2">
        <f>SUMIFS(BASE_DATOS!F:F,BASE_DATOS!A:A,"Septiembre",BASE_DATOS!D:D,"Ventas (productos)",BASE_DATOS!C:C,"INGRESO")</f>
        <v/>
      </c>
      <c r="C5" s="2">
        <f>SUMIFS(BASE_DATOS!F:F,BASE_DATOS!A:A,"Septiembre",BASE_DATOS!D:D,"Ventas (productos)",BASE_DATOS!C:C,"EGRESO")</f>
        <v/>
      </c>
    </row>
    <row r="6">
      <c r="A6" s="6" t="inlineStr">
        <is>
          <t>Servicios profesionales</t>
        </is>
      </c>
      <c r="B6" s="6">
        <f>SUMIFS(BASE_DATOS!F:F,BASE_DATOS!A:A,"Septiembre",BASE_DATOS!D:D,"Servicios profesionales",BASE_DATOS!C:C,"INGRESO")</f>
        <v/>
      </c>
      <c r="C6" s="6">
        <f>SUMIFS(BASE_DATOS!F:F,BASE_DATOS!A:A,"Septiembre",BASE_DATOS!D:D,"Servicios profesionales",BASE_DATOS!C:C,"EGRESO")</f>
        <v/>
      </c>
    </row>
    <row r="7">
      <c r="A7" s="2" t="inlineStr">
        <is>
          <t>Afiliados</t>
        </is>
      </c>
      <c r="B7" s="2">
        <f>SUMIFS(BASE_DATOS!F:F,BASE_DATOS!A:A,"Septiembre",BASE_DATOS!D:D,"Afiliados",BASE_DATOS!C:C,"INGRESO")</f>
        <v/>
      </c>
      <c r="C7" s="2">
        <f>SUMIFS(BASE_DATOS!F:F,BASE_DATOS!A:A,"Septiembre",BASE_DATOS!D:D,"Afiliados",BASE_DATOS!C:C,"EGRESO")</f>
        <v/>
      </c>
    </row>
    <row r="8">
      <c r="A8" s="6" t="inlineStr">
        <is>
          <t>Cursos digitales</t>
        </is>
      </c>
      <c r="B8" s="6">
        <f>SUMIFS(BASE_DATOS!F:F,BASE_DATOS!A:A,"Septiembre",BASE_DATOS!D:D,"Cursos digitales",BASE_DATOS!C:C,"INGRESO")</f>
        <v/>
      </c>
      <c r="C8" s="6">
        <f>SUMIFS(BASE_DATOS!F:F,BASE_DATOS!A:A,"Septiembre",BASE_DATOS!D:D,"Cursos digitales",BASE_DATOS!C:C,"EGRESO")</f>
        <v/>
      </c>
    </row>
    <row r="9">
      <c r="A9" s="2" t="inlineStr">
        <is>
          <t>Membresías</t>
        </is>
      </c>
      <c r="B9" s="2">
        <f>SUMIFS(BASE_DATOS!F:F,BASE_DATOS!A:A,"Septiembre",BASE_DATOS!D:D,"Membresías",BASE_DATOS!C:C,"INGRESO")</f>
        <v/>
      </c>
      <c r="C9" s="2">
        <f>SUMIFS(BASE_DATOS!F:F,BASE_DATOS!A:A,"Septiembre",BASE_DATOS!D:D,"Membresías",BASE_DATOS!C:C,"EGRESO")</f>
        <v/>
      </c>
    </row>
    <row r="10">
      <c r="A10" s="6" t="inlineStr">
        <is>
          <t>Ingresos varios</t>
        </is>
      </c>
      <c r="B10" s="6">
        <f>SUMIFS(BASE_DATOS!F:F,BASE_DATOS!A:A,"Septiembre",BASE_DATOS!D:D,"Ingresos varios",BASE_DATOS!C:C,"INGRESO")</f>
        <v/>
      </c>
      <c r="C10" s="6">
        <f>SUMIFS(BASE_DATOS!F:F,BASE_DATOS!A:A,"Septiembre",BASE_DATOS!D:D,"Ingresos varios",BASE_DATOS!C:C,"EGRESO")</f>
        <v/>
      </c>
    </row>
    <row r="11">
      <c r="A11" s="7" t="inlineStr">
        <is>
          <t>GASTOS FIJOS</t>
        </is>
      </c>
      <c r="B11" s="2" t="n"/>
      <c r="C11" s="2" t="n"/>
    </row>
    <row r="12">
      <c r="A12" s="6" t="inlineStr">
        <is>
          <t>Renta</t>
        </is>
      </c>
      <c r="B12" s="6">
        <f>SUMIFS(BASE_DATOS!F:F,BASE_DATOS!A:A,"Septiembre",BASE_DATOS!D:D,"Renta",BASE_DATOS!C:C,"INGRESO")</f>
        <v/>
      </c>
      <c r="C12" s="6">
        <f>SUMIFS(BASE_DATOS!F:F,BASE_DATOS!A:A,"Septiembre",BASE_DATOS!D:D,"Renta",BASE_DATOS!C:C,"EGRESO")</f>
        <v/>
      </c>
    </row>
    <row r="13">
      <c r="A13" s="2" t="inlineStr">
        <is>
          <t>Nómina</t>
        </is>
      </c>
      <c r="B13" s="2">
        <f>SUMIFS(BASE_DATOS!F:F,BASE_DATOS!A:A,"Septiembre",BASE_DATOS!D:D,"Nómina",BASE_DATOS!C:C,"INGRESO")</f>
        <v/>
      </c>
      <c r="C13" s="2">
        <f>SUMIFS(BASE_DATOS!F:F,BASE_DATOS!A:A,"Septiembre",BASE_DATOS!D:D,"Nómina",BASE_DATOS!C:C,"EGRESO")</f>
        <v/>
      </c>
    </row>
    <row r="14">
      <c r="A14" s="6" t="inlineStr">
        <is>
          <t>Suscripciones</t>
        </is>
      </c>
      <c r="B14" s="6">
        <f>SUMIFS(BASE_DATOS!F:F,BASE_DATOS!A:A,"Septiembre",BASE_DATOS!D:D,"Suscripciones",BASE_DATOS!C:C,"INGRESO")</f>
        <v/>
      </c>
      <c r="C14" s="6">
        <f>SUMIFS(BASE_DATOS!F:F,BASE_DATOS!A:A,"Septiembre",BASE_DATOS!D:D,"Suscripciones",BASE_DATOS!C:C,"EGRESO")</f>
        <v/>
      </c>
    </row>
    <row r="15">
      <c r="A15" s="2" t="inlineStr">
        <is>
          <t>Servicios (luz/agua/internet)</t>
        </is>
      </c>
      <c r="B15" s="2">
        <f>SUMIFS(BASE_DATOS!F:F,BASE_DATOS!A:A,"Septiembre",BASE_DATOS!D:D,"Servicios (luz/agua/internet)",BASE_DATOS!C:C,"INGRESO")</f>
        <v/>
      </c>
      <c r="C15" s="2">
        <f>SUMIFS(BASE_DATOS!F:F,BASE_DATOS!A:A,"Septiembre",BASE_DATOS!D:D,"Servicios (luz/agua/internet)",BASE_DATOS!C:C,"EGRESO")</f>
        <v/>
      </c>
    </row>
    <row r="16">
      <c r="A16" s="6" t="inlineStr">
        <is>
          <t>Contabilidad / legal</t>
        </is>
      </c>
      <c r="B16" s="6">
        <f>SUMIFS(BASE_DATOS!F:F,BASE_DATOS!A:A,"Septiembre",BASE_DATOS!D:D,"Contabilidad / legal",BASE_DATOS!C:C,"INGRESO")</f>
        <v/>
      </c>
      <c r="C16" s="6">
        <f>SUMIFS(BASE_DATOS!F:F,BASE_DATOS!A:A,"Septiembre",BASE_DATOS!D:D,"Contabilidad / legal",BASE_DATOS!C:C,"EGRESO")</f>
        <v/>
      </c>
    </row>
    <row r="17">
      <c r="A17" s="7" t="inlineStr">
        <is>
          <t>GASTOS VARIABLES</t>
        </is>
      </c>
      <c r="B17" s="2" t="n"/>
      <c r="C17" s="2" t="n"/>
    </row>
    <row r="18">
      <c r="A18" s="6" t="inlineStr">
        <is>
          <t>Marketing / Ads</t>
        </is>
      </c>
      <c r="B18" s="6">
        <f>SUMIFS(BASE_DATOS!F:F,BASE_DATOS!A:A,"Septiembre",BASE_DATOS!D:D,"Marketing / Ads",BASE_DATOS!C:C,"INGRESO")</f>
        <v/>
      </c>
      <c r="C18" s="6">
        <f>SUMIFS(BASE_DATOS!F:F,BASE_DATOS!A:A,"Septiembre",BASE_DATOS!D:D,"Marketing / Ads",BASE_DATOS!C:C,"EGRESO")</f>
        <v/>
      </c>
    </row>
    <row r="19">
      <c r="A19" s="2" t="inlineStr">
        <is>
          <t>Inventario</t>
        </is>
      </c>
      <c r="B19" s="2">
        <f>SUMIFS(BASE_DATOS!F:F,BASE_DATOS!A:A,"Septiembre",BASE_DATOS!D:D,"Inventario",BASE_DATOS!C:C,"INGRESO")</f>
        <v/>
      </c>
      <c r="C19" s="2">
        <f>SUMIFS(BASE_DATOS!F:F,BASE_DATOS!A:A,"Septiembre",BASE_DATOS!D:D,"Inventario",BASE_DATOS!C:C,"EGRESO")</f>
        <v/>
      </c>
    </row>
    <row r="20">
      <c r="A20" s="6" t="inlineStr">
        <is>
          <t>Envíos</t>
        </is>
      </c>
      <c r="B20" s="6">
        <f>SUMIFS(BASE_DATOS!F:F,BASE_DATOS!A:A,"Septiembre",BASE_DATOS!D:D,"Envíos",BASE_DATOS!C:C,"INGRESO")</f>
        <v/>
      </c>
      <c r="C20" s="6">
        <f>SUMIFS(BASE_DATOS!F:F,BASE_DATOS!A:A,"Septiembre",BASE_DATOS!D:D,"Envíos",BASE_DATOS!C:C,"EGRESO")</f>
        <v/>
      </c>
    </row>
    <row r="21">
      <c r="A21" s="2" t="inlineStr">
        <is>
          <t>Materiales</t>
        </is>
      </c>
      <c r="B21" s="2">
        <f>SUMIFS(BASE_DATOS!F:F,BASE_DATOS!A:A,"Septiembre",BASE_DATOS!D:D,"Materiales",BASE_DATOS!C:C,"INGRESO")</f>
        <v/>
      </c>
      <c r="C21" s="2">
        <f>SUMIFS(BASE_DATOS!F:F,BASE_DATOS!A:A,"Septiembre",BASE_DATOS!D:D,"Materiales",BASE_DATOS!C:C,"EGRESO")</f>
        <v/>
      </c>
    </row>
    <row r="22">
      <c r="A22" s="6" t="inlineStr">
        <is>
          <t>Freelancers</t>
        </is>
      </c>
      <c r="B22" s="6">
        <f>SUMIFS(BASE_DATOS!F:F,BASE_DATOS!A:A,"Septiembre",BASE_DATOS!D:D,"Freelancers",BASE_DATOS!C:C,"INGRESO")</f>
        <v/>
      </c>
      <c r="C22" s="6">
        <f>SUMIFS(BASE_DATOS!F:F,BASE_DATOS!A:A,"Septiembre",BASE_DATOS!D:D,"Freelancers",BASE_DATOS!C:C,"EGRESO")</f>
        <v/>
      </c>
    </row>
    <row r="23">
      <c r="A23" s="2" t="inlineStr">
        <is>
          <t>Otros gastos variables</t>
        </is>
      </c>
      <c r="B23" s="2">
        <f>SUMIFS(BASE_DATOS!F:F,BASE_DATOS!A:A,"Septiembre",BASE_DATOS!D:D,"Otros gastos variables",BASE_DATOS!C:C,"INGRESO")</f>
        <v/>
      </c>
      <c r="C23" s="2">
        <f>SUMIFS(BASE_DATOS!F:F,BASE_DATOS!A:A,"Septiembre",BASE_DATOS!D:D,"Otros gastos variables",BASE_DATOS!C:C,"EGRESO")</f>
        <v/>
      </c>
    </row>
    <row r="24">
      <c r="A24" s="8" t="inlineStr">
        <is>
          <t>TOTAL INGRESOS</t>
        </is>
      </c>
      <c r="B24" s="8">
        <f>SUM(B5:B23)</f>
        <v/>
      </c>
      <c r="C24" s="6" t="n"/>
    </row>
    <row r="25">
      <c r="A25" s="9" t="inlineStr">
        <is>
          <t>TOTAL EGRESOS</t>
        </is>
      </c>
      <c r="B25" s="2" t="n"/>
      <c r="C25" s="9">
        <f>SUM(C5:C23)</f>
        <v/>
      </c>
    </row>
    <row r="26">
      <c r="A26" s="8" t="inlineStr">
        <is>
          <t>FLUJO NETO DEL MES</t>
        </is>
      </c>
      <c r="B26" s="8">
        <f>B24-C25</f>
        <v/>
      </c>
      <c r="C26" s="6" t="n"/>
    </row>
    <row r="27">
      <c r="A27" s="2" t="n"/>
      <c r="B27" s="2" t="n"/>
      <c r="C27" s="2" t="n"/>
    </row>
    <row r="28">
      <c r="A28" s="6" t="inlineStr">
        <is>
          <t>SALDO INICIAL</t>
        </is>
      </c>
      <c r="B28" s="6" t="n">
        <v>0</v>
      </c>
      <c r="C28" s="6" t="n"/>
    </row>
    <row r="29">
      <c r="A29" s="2" t="inlineStr">
        <is>
          <t>SALDO FINAL</t>
        </is>
      </c>
      <c r="B29" s="9">
        <f>B28+B26</f>
        <v/>
      </c>
      <c r="C29" s="2" t="n"/>
    </row>
  </sheetData>
  <mergeCells count="4">
    <mergeCell ref="A1:D1"/>
    <mergeCell ref="A4:C4"/>
    <mergeCell ref="A11:C11"/>
    <mergeCell ref="A17:C17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29"/>
  <sheetViews>
    <sheetView workbookViewId="0">
      <selection activeCell="A1" sqref="A1"/>
    </sheetView>
  </sheetViews>
  <sheetFormatPr baseColWidth="8" defaultRowHeight="15"/>
  <cols>
    <col width="26" customWidth="1" min="1" max="1"/>
    <col width="26" customWidth="1" min="2" max="2"/>
    <col width="26" customWidth="1" min="3" max="3"/>
  </cols>
  <sheetData>
    <row r="1">
      <c r="A1" s="3" t="inlineStr">
        <is>
          <t>FLUJO DE CAJA - Octubre</t>
        </is>
      </c>
    </row>
    <row r="3">
      <c r="A3" s="4" t="inlineStr">
        <is>
          <t>CATEGORÍA</t>
        </is>
      </c>
      <c r="B3" s="4" t="inlineStr">
        <is>
          <t>INGRESOS</t>
        </is>
      </c>
      <c r="C3" s="4" t="inlineStr">
        <is>
          <t>EGRESOS</t>
        </is>
      </c>
    </row>
    <row r="4">
      <c r="A4" s="5" t="inlineStr">
        <is>
          <t>INGRESOS</t>
        </is>
      </c>
      <c r="B4" s="6" t="n"/>
      <c r="C4" s="6" t="n"/>
    </row>
    <row r="5">
      <c r="A5" s="2" t="inlineStr">
        <is>
          <t>Ventas (productos)</t>
        </is>
      </c>
      <c r="B5" s="2">
        <f>SUMIFS(BASE_DATOS!F:F,BASE_DATOS!A:A,"Octubre",BASE_DATOS!D:D,"Ventas (productos)",BASE_DATOS!C:C,"INGRESO")</f>
        <v/>
      </c>
      <c r="C5" s="2">
        <f>SUMIFS(BASE_DATOS!F:F,BASE_DATOS!A:A,"Octubre",BASE_DATOS!D:D,"Ventas (productos)",BASE_DATOS!C:C,"EGRESO")</f>
        <v/>
      </c>
    </row>
    <row r="6">
      <c r="A6" s="6" t="inlineStr">
        <is>
          <t>Servicios profesionales</t>
        </is>
      </c>
      <c r="B6" s="6">
        <f>SUMIFS(BASE_DATOS!F:F,BASE_DATOS!A:A,"Octubre",BASE_DATOS!D:D,"Servicios profesionales",BASE_DATOS!C:C,"INGRESO")</f>
        <v/>
      </c>
      <c r="C6" s="6">
        <f>SUMIFS(BASE_DATOS!F:F,BASE_DATOS!A:A,"Octubre",BASE_DATOS!D:D,"Servicios profesionales",BASE_DATOS!C:C,"EGRESO")</f>
        <v/>
      </c>
    </row>
    <row r="7">
      <c r="A7" s="2" t="inlineStr">
        <is>
          <t>Afiliados</t>
        </is>
      </c>
      <c r="B7" s="2">
        <f>SUMIFS(BASE_DATOS!F:F,BASE_DATOS!A:A,"Octubre",BASE_DATOS!D:D,"Afiliados",BASE_DATOS!C:C,"INGRESO")</f>
        <v/>
      </c>
      <c r="C7" s="2">
        <f>SUMIFS(BASE_DATOS!F:F,BASE_DATOS!A:A,"Octubre",BASE_DATOS!D:D,"Afiliados",BASE_DATOS!C:C,"EGRESO")</f>
        <v/>
      </c>
    </row>
    <row r="8">
      <c r="A8" s="6" t="inlineStr">
        <is>
          <t>Cursos digitales</t>
        </is>
      </c>
      <c r="B8" s="6">
        <f>SUMIFS(BASE_DATOS!F:F,BASE_DATOS!A:A,"Octubre",BASE_DATOS!D:D,"Cursos digitales",BASE_DATOS!C:C,"INGRESO")</f>
        <v/>
      </c>
      <c r="C8" s="6">
        <f>SUMIFS(BASE_DATOS!F:F,BASE_DATOS!A:A,"Octubre",BASE_DATOS!D:D,"Cursos digitales",BASE_DATOS!C:C,"EGRESO")</f>
        <v/>
      </c>
    </row>
    <row r="9">
      <c r="A9" s="2" t="inlineStr">
        <is>
          <t>Membresías</t>
        </is>
      </c>
      <c r="B9" s="2">
        <f>SUMIFS(BASE_DATOS!F:F,BASE_DATOS!A:A,"Octubre",BASE_DATOS!D:D,"Membresías",BASE_DATOS!C:C,"INGRESO")</f>
        <v/>
      </c>
      <c r="C9" s="2">
        <f>SUMIFS(BASE_DATOS!F:F,BASE_DATOS!A:A,"Octubre",BASE_DATOS!D:D,"Membresías",BASE_DATOS!C:C,"EGRESO")</f>
        <v/>
      </c>
    </row>
    <row r="10">
      <c r="A10" s="6" t="inlineStr">
        <is>
          <t>Ingresos varios</t>
        </is>
      </c>
      <c r="B10" s="6">
        <f>SUMIFS(BASE_DATOS!F:F,BASE_DATOS!A:A,"Octubre",BASE_DATOS!D:D,"Ingresos varios",BASE_DATOS!C:C,"INGRESO")</f>
        <v/>
      </c>
      <c r="C10" s="6">
        <f>SUMIFS(BASE_DATOS!F:F,BASE_DATOS!A:A,"Octubre",BASE_DATOS!D:D,"Ingresos varios",BASE_DATOS!C:C,"EGRESO")</f>
        <v/>
      </c>
    </row>
    <row r="11">
      <c r="A11" s="7" t="inlineStr">
        <is>
          <t>GASTOS FIJOS</t>
        </is>
      </c>
      <c r="B11" s="2" t="n"/>
      <c r="C11" s="2" t="n"/>
    </row>
    <row r="12">
      <c r="A12" s="6" t="inlineStr">
        <is>
          <t>Renta</t>
        </is>
      </c>
      <c r="B12" s="6">
        <f>SUMIFS(BASE_DATOS!F:F,BASE_DATOS!A:A,"Octubre",BASE_DATOS!D:D,"Renta",BASE_DATOS!C:C,"INGRESO")</f>
        <v/>
      </c>
      <c r="C12" s="6">
        <f>SUMIFS(BASE_DATOS!F:F,BASE_DATOS!A:A,"Octubre",BASE_DATOS!D:D,"Renta",BASE_DATOS!C:C,"EGRESO")</f>
        <v/>
      </c>
    </row>
    <row r="13">
      <c r="A13" s="2" t="inlineStr">
        <is>
          <t>Nómina</t>
        </is>
      </c>
      <c r="B13" s="2">
        <f>SUMIFS(BASE_DATOS!F:F,BASE_DATOS!A:A,"Octubre",BASE_DATOS!D:D,"Nómina",BASE_DATOS!C:C,"INGRESO")</f>
        <v/>
      </c>
      <c r="C13" s="2">
        <f>SUMIFS(BASE_DATOS!F:F,BASE_DATOS!A:A,"Octubre",BASE_DATOS!D:D,"Nómina",BASE_DATOS!C:C,"EGRESO")</f>
        <v/>
      </c>
    </row>
    <row r="14">
      <c r="A14" s="6" t="inlineStr">
        <is>
          <t>Suscripciones</t>
        </is>
      </c>
      <c r="B14" s="6">
        <f>SUMIFS(BASE_DATOS!F:F,BASE_DATOS!A:A,"Octubre",BASE_DATOS!D:D,"Suscripciones",BASE_DATOS!C:C,"INGRESO")</f>
        <v/>
      </c>
      <c r="C14" s="6">
        <f>SUMIFS(BASE_DATOS!F:F,BASE_DATOS!A:A,"Octubre",BASE_DATOS!D:D,"Suscripciones",BASE_DATOS!C:C,"EGRESO")</f>
        <v/>
      </c>
    </row>
    <row r="15">
      <c r="A15" s="2" t="inlineStr">
        <is>
          <t>Servicios (luz/agua/internet)</t>
        </is>
      </c>
      <c r="B15" s="2">
        <f>SUMIFS(BASE_DATOS!F:F,BASE_DATOS!A:A,"Octubre",BASE_DATOS!D:D,"Servicios (luz/agua/internet)",BASE_DATOS!C:C,"INGRESO")</f>
        <v/>
      </c>
      <c r="C15" s="2">
        <f>SUMIFS(BASE_DATOS!F:F,BASE_DATOS!A:A,"Octubre",BASE_DATOS!D:D,"Servicios (luz/agua/internet)",BASE_DATOS!C:C,"EGRESO")</f>
        <v/>
      </c>
    </row>
    <row r="16">
      <c r="A16" s="6" t="inlineStr">
        <is>
          <t>Contabilidad / legal</t>
        </is>
      </c>
      <c r="B16" s="6">
        <f>SUMIFS(BASE_DATOS!F:F,BASE_DATOS!A:A,"Octubre",BASE_DATOS!D:D,"Contabilidad / legal",BASE_DATOS!C:C,"INGRESO")</f>
        <v/>
      </c>
      <c r="C16" s="6">
        <f>SUMIFS(BASE_DATOS!F:F,BASE_DATOS!A:A,"Octubre",BASE_DATOS!D:D,"Contabilidad / legal",BASE_DATOS!C:C,"EGRESO")</f>
        <v/>
      </c>
    </row>
    <row r="17">
      <c r="A17" s="7" t="inlineStr">
        <is>
          <t>GASTOS VARIABLES</t>
        </is>
      </c>
      <c r="B17" s="2" t="n"/>
      <c r="C17" s="2" t="n"/>
    </row>
    <row r="18">
      <c r="A18" s="6" t="inlineStr">
        <is>
          <t>Marketing / Ads</t>
        </is>
      </c>
      <c r="B18" s="6">
        <f>SUMIFS(BASE_DATOS!F:F,BASE_DATOS!A:A,"Octubre",BASE_DATOS!D:D,"Marketing / Ads",BASE_DATOS!C:C,"INGRESO")</f>
        <v/>
      </c>
      <c r="C18" s="6">
        <f>SUMIFS(BASE_DATOS!F:F,BASE_DATOS!A:A,"Octubre",BASE_DATOS!D:D,"Marketing / Ads",BASE_DATOS!C:C,"EGRESO")</f>
        <v/>
      </c>
    </row>
    <row r="19">
      <c r="A19" s="2" t="inlineStr">
        <is>
          <t>Inventario</t>
        </is>
      </c>
      <c r="B19" s="2">
        <f>SUMIFS(BASE_DATOS!F:F,BASE_DATOS!A:A,"Octubre",BASE_DATOS!D:D,"Inventario",BASE_DATOS!C:C,"INGRESO")</f>
        <v/>
      </c>
      <c r="C19" s="2">
        <f>SUMIFS(BASE_DATOS!F:F,BASE_DATOS!A:A,"Octubre",BASE_DATOS!D:D,"Inventario",BASE_DATOS!C:C,"EGRESO")</f>
        <v/>
      </c>
    </row>
    <row r="20">
      <c r="A20" s="6" t="inlineStr">
        <is>
          <t>Envíos</t>
        </is>
      </c>
      <c r="B20" s="6">
        <f>SUMIFS(BASE_DATOS!F:F,BASE_DATOS!A:A,"Octubre",BASE_DATOS!D:D,"Envíos",BASE_DATOS!C:C,"INGRESO")</f>
        <v/>
      </c>
      <c r="C20" s="6">
        <f>SUMIFS(BASE_DATOS!F:F,BASE_DATOS!A:A,"Octubre",BASE_DATOS!D:D,"Envíos",BASE_DATOS!C:C,"EGRESO")</f>
        <v/>
      </c>
    </row>
    <row r="21">
      <c r="A21" s="2" t="inlineStr">
        <is>
          <t>Materiales</t>
        </is>
      </c>
      <c r="B21" s="2">
        <f>SUMIFS(BASE_DATOS!F:F,BASE_DATOS!A:A,"Octubre",BASE_DATOS!D:D,"Materiales",BASE_DATOS!C:C,"INGRESO")</f>
        <v/>
      </c>
      <c r="C21" s="2">
        <f>SUMIFS(BASE_DATOS!F:F,BASE_DATOS!A:A,"Octubre",BASE_DATOS!D:D,"Materiales",BASE_DATOS!C:C,"EGRESO")</f>
        <v/>
      </c>
    </row>
    <row r="22">
      <c r="A22" s="6" t="inlineStr">
        <is>
          <t>Freelancers</t>
        </is>
      </c>
      <c r="B22" s="6">
        <f>SUMIFS(BASE_DATOS!F:F,BASE_DATOS!A:A,"Octubre",BASE_DATOS!D:D,"Freelancers",BASE_DATOS!C:C,"INGRESO")</f>
        <v/>
      </c>
      <c r="C22" s="6">
        <f>SUMIFS(BASE_DATOS!F:F,BASE_DATOS!A:A,"Octubre",BASE_DATOS!D:D,"Freelancers",BASE_DATOS!C:C,"EGRESO")</f>
        <v/>
      </c>
    </row>
    <row r="23">
      <c r="A23" s="2" t="inlineStr">
        <is>
          <t>Otros gastos variables</t>
        </is>
      </c>
      <c r="B23" s="2">
        <f>SUMIFS(BASE_DATOS!F:F,BASE_DATOS!A:A,"Octubre",BASE_DATOS!D:D,"Otros gastos variables",BASE_DATOS!C:C,"INGRESO")</f>
        <v/>
      </c>
      <c r="C23" s="2">
        <f>SUMIFS(BASE_DATOS!F:F,BASE_DATOS!A:A,"Octubre",BASE_DATOS!D:D,"Otros gastos variables",BASE_DATOS!C:C,"EGRESO")</f>
        <v/>
      </c>
    </row>
    <row r="24">
      <c r="A24" s="8" t="inlineStr">
        <is>
          <t>TOTAL INGRESOS</t>
        </is>
      </c>
      <c r="B24" s="8">
        <f>SUM(B5:B23)</f>
        <v/>
      </c>
      <c r="C24" s="6" t="n"/>
    </row>
    <row r="25">
      <c r="A25" s="9" t="inlineStr">
        <is>
          <t>TOTAL EGRESOS</t>
        </is>
      </c>
      <c r="B25" s="2" t="n"/>
      <c r="C25" s="9">
        <f>SUM(C5:C23)</f>
        <v/>
      </c>
    </row>
    <row r="26">
      <c r="A26" s="8" t="inlineStr">
        <is>
          <t>FLUJO NETO DEL MES</t>
        </is>
      </c>
      <c r="B26" s="8">
        <f>B24-C25</f>
        <v/>
      </c>
      <c r="C26" s="6" t="n"/>
    </row>
    <row r="27">
      <c r="A27" s="2" t="n"/>
      <c r="B27" s="2" t="n"/>
      <c r="C27" s="2" t="n"/>
    </row>
    <row r="28">
      <c r="A28" s="6" t="inlineStr">
        <is>
          <t>SALDO INICIAL</t>
        </is>
      </c>
      <c r="B28" s="6" t="n">
        <v>0</v>
      </c>
      <c r="C28" s="6" t="n"/>
    </row>
    <row r="29">
      <c r="A29" s="2" t="inlineStr">
        <is>
          <t>SALDO FINAL</t>
        </is>
      </c>
      <c r="B29" s="9">
        <f>B28+B26</f>
        <v/>
      </c>
      <c r="C29" s="2" t="n"/>
    </row>
  </sheetData>
  <mergeCells count="4">
    <mergeCell ref="A1:D1"/>
    <mergeCell ref="A4:C4"/>
    <mergeCell ref="A11:C11"/>
    <mergeCell ref="A17:C17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D29"/>
  <sheetViews>
    <sheetView workbookViewId="0">
      <selection activeCell="A1" sqref="A1"/>
    </sheetView>
  </sheetViews>
  <sheetFormatPr baseColWidth="8" defaultRowHeight="15"/>
  <cols>
    <col width="26" customWidth="1" min="1" max="1"/>
    <col width="26" customWidth="1" min="2" max="2"/>
    <col width="26" customWidth="1" min="3" max="3"/>
  </cols>
  <sheetData>
    <row r="1">
      <c r="A1" s="3" t="inlineStr">
        <is>
          <t>FLUJO DE CAJA - Noviembre</t>
        </is>
      </c>
    </row>
    <row r="3">
      <c r="A3" s="4" t="inlineStr">
        <is>
          <t>CATEGORÍA</t>
        </is>
      </c>
      <c r="B3" s="4" t="inlineStr">
        <is>
          <t>INGRESOS</t>
        </is>
      </c>
      <c r="C3" s="4" t="inlineStr">
        <is>
          <t>EGRESOS</t>
        </is>
      </c>
    </row>
    <row r="4">
      <c r="A4" s="5" t="inlineStr">
        <is>
          <t>INGRESOS</t>
        </is>
      </c>
      <c r="B4" s="6" t="n"/>
      <c r="C4" s="6" t="n"/>
    </row>
    <row r="5">
      <c r="A5" s="2" t="inlineStr">
        <is>
          <t>Ventas (productos)</t>
        </is>
      </c>
      <c r="B5" s="2">
        <f>SUMIFS(BASE_DATOS!F:F,BASE_DATOS!A:A,"Noviembre",BASE_DATOS!D:D,"Ventas (productos)",BASE_DATOS!C:C,"INGRESO")</f>
        <v/>
      </c>
      <c r="C5" s="2">
        <f>SUMIFS(BASE_DATOS!F:F,BASE_DATOS!A:A,"Noviembre",BASE_DATOS!D:D,"Ventas (productos)",BASE_DATOS!C:C,"EGRESO")</f>
        <v/>
      </c>
    </row>
    <row r="6">
      <c r="A6" s="6" t="inlineStr">
        <is>
          <t>Servicios profesionales</t>
        </is>
      </c>
      <c r="B6" s="6">
        <f>SUMIFS(BASE_DATOS!F:F,BASE_DATOS!A:A,"Noviembre",BASE_DATOS!D:D,"Servicios profesionales",BASE_DATOS!C:C,"INGRESO")</f>
        <v/>
      </c>
      <c r="C6" s="6">
        <f>SUMIFS(BASE_DATOS!F:F,BASE_DATOS!A:A,"Noviembre",BASE_DATOS!D:D,"Servicios profesionales",BASE_DATOS!C:C,"EGRESO")</f>
        <v/>
      </c>
    </row>
    <row r="7">
      <c r="A7" s="2" t="inlineStr">
        <is>
          <t>Afiliados</t>
        </is>
      </c>
      <c r="B7" s="2">
        <f>SUMIFS(BASE_DATOS!F:F,BASE_DATOS!A:A,"Noviembre",BASE_DATOS!D:D,"Afiliados",BASE_DATOS!C:C,"INGRESO")</f>
        <v/>
      </c>
      <c r="C7" s="2">
        <f>SUMIFS(BASE_DATOS!F:F,BASE_DATOS!A:A,"Noviembre",BASE_DATOS!D:D,"Afiliados",BASE_DATOS!C:C,"EGRESO")</f>
        <v/>
      </c>
    </row>
    <row r="8">
      <c r="A8" s="6" t="inlineStr">
        <is>
          <t>Cursos digitales</t>
        </is>
      </c>
      <c r="B8" s="6">
        <f>SUMIFS(BASE_DATOS!F:F,BASE_DATOS!A:A,"Noviembre",BASE_DATOS!D:D,"Cursos digitales",BASE_DATOS!C:C,"INGRESO")</f>
        <v/>
      </c>
      <c r="C8" s="6">
        <f>SUMIFS(BASE_DATOS!F:F,BASE_DATOS!A:A,"Noviembre",BASE_DATOS!D:D,"Cursos digitales",BASE_DATOS!C:C,"EGRESO")</f>
        <v/>
      </c>
    </row>
    <row r="9">
      <c r="A9" s="2" t="inlineStr">
        <is>
          <t>Membresías</t>
        </is>
      </c>
      <c r="B9" s="2">
        <f>SUMIFS(BASE_DATOS!F:F,BASE_DATOS!A:A,"Noviembre",BASE_DATOS!D:D,"Membresías",BASE_DATOS!C:C,"INGRESO")</f>
        <v/>
      </c>
      <c r="C9" s="2">
        <f>SUMIFS(BASE_DATOS!F:F,BASE_DATOS!A:A,"Noviembre",BASE_DATOS!D:D,"Membresías",BASE_DATOS!C:C,"EGRESO")</f>
        <v/>
      </c>
    </row>
    <row r="10">
      <c r="A10" s="6" t="inlineStr">
        <is>
          <t>Ingresos varios</t>
        </is>
      </c>
      <c r="B10" s="6">
        <f>SUMIFS(BASE_DATOS!F:F,BASE_DATOS!A:A,"Noviembre",BASE_DATOS!D:D,"Ingresos varios",BASE_DATOS!C:C,"INGRESO")</f>
        <v/>
      </c>
      <c r="C10" s="6">
        <f>SUMIFS(BASE_DATOS!F:F,BASE_DATOS!A:A,"Noviembre",BASE_DATOS!D:D,"Ingresos varios",BASE_DATOS!C:C,"EGRESO")</f>
        <v/>
      </c>
    </row>
    <row r="11">
      <c r="A11" s="7" t="inlineStr">
        <is>
          <t>GASTOS FIJOS</t>
        </is>
      </c>
      <c r="B11" s="2" t="n"/>
      <c r="C11" s="2" t="n"/>
    </row>
    <row r="12">
      <c r="A12" s="6" t="inlineStr">
        <is>
          <t>Renta</t>
        </is>
      </c>
      <c r="B12" s="6">
        <f>SUMIFS(BASE_DATOS!F:F,BASE_DATOS!A:A,"Noviembre",BASE_DATOS!D:D,"Renta",BASE_DATOS!C:C,"INGRESO")</f>
        <v/>
      </c>
      <c r="C12" s="6">
        <f>SUMIFS(BASE_DATOS!F:F,BASE_DATOS!A:A,"Noviembre",BASE_DATOS!D:D,"Renta",BASE_DATOS!C:C,"EGRESO")</f>
        <v/>
      </c>
    </row>
    <row r="13">
      <c r="A13" s="2" t="inlineStr">
        <is>
          <t>Nómina</t>
        </is>
      </c>
      <c r="B13" s="2">
        <f>SUMIFS(BASE_DATOS!F:F,BASE_DATOS!A:A,"Noviembre",BASE_DATOS!D:D,"Nómina",BASE_DATOS!C:C,"INGRESO")</f>
        <v/>
      </c>
      <c r="C13" s="2">
        <f>SUMIFS(BASE_DATOS!F:F,BASE_DATOS!A:A,"Noviembre",BASE_DATOS!D:D,"Nómina",BASE_DATOS!C:C,"EGRESO")</f>
        <v/>
      </c>
    </row>
    <row r="14">
      <c r="A14" s="6" t="inlineStr">
        <is>
          <t>Suscripciones</t>
        </is>
      </c>
      <c r="B14" s="6">
        <f>SUMIFS(BASE_DATOS!F:F,BASE_DATOS!A:A,"Noviembre",BASE_DATOS!D:D,"Suscripciones",BASE_DATOS!C:C,"INGRESO")</f>
        <v/>
      </c>
      <c r="C14" s="6">
        <f>SUMIFS(BASE_DATOS!F:F,BASE_DATOS!A:A,"Noviembre",BASE_DATOS!D:D,"Suscripciones",BASE_DATOS!C:C,"EGRESO")</f>
        <v/>
      </c>
    </row>
    <row r="15">
      <c r="A15" s="2" t="inlineStr">
        <is>
          <t>Servicios (luz/agua/internet)</t>
        </is>
      </c>
      <c r="B15" s="2">
        <f>SUMIFS(BASE_DATOS!F:F,BASE_DATOS!A:A,"Noviembre",BASE_DATOS!D:D,"Servicios (luz/agua/internet)",BASE_DATOS!C:C,"INGRESO")</f>
        <v/>
      </c>
      <c r="C15" s="2">
        <f>SUMIFS(BASE_DATOS!F:F,BASE_DATOS!A:A,"Noviembre",BASE_DATOS!D:D,"Servicios (luz/agua/internet)",BASE_DATOS!C:C,"EGRESO")</f>
        <v/>
      </c>
    </row>
    <row r="16">
      <c r="A16" s="6" t="inlineStr">
        <is>
          <t>Contabilidad / legal</t>
        </is>
      </c>
      <c r="B16" s="6">
        <f>SUMIFS(BASE_DATOS!F:F,BASE_DATOS!A:A,"Noviembre",BASE_DATOS!D:D,"Contabilidad / legal",BASE_DATOS!C:C,"INGRESO")</f>
        <v/>
      </c>
      <c r="C16" s="6">
        <f>SUMIFS(BASE_DATOS!F:F,BASE_DATOS!A:A,"Noviembre",BASE_DATOS!D:D,"Contabilidad / legal",BASE_DATOS!C:C,"EGRESO")</f>
        <v/>
      </c>
    </row>
    <row r="17">
      <c r="A17" s="7" t="inlineStr">
        <is>
          <t>GASTOS VARIABLES</t>
        </is>
      </c>
      <c r="B17" s="2" t="n"/>
      <c r="C17" s="2" t="n"/>
    </row>
    <row r="18">
      <c r="A18" s="6" t="inlineStr">
        <is>
          <t>Marketing / Ads</t>
        </is>
      </c>
      <c r="B18" s="6">
        <f>SUMIFS(BASE_DATOS!F:F,BASE_DATOS!A:A,"Noviembre",BASE_DATOS!D:D,"Marketing / Ads",BASE_DATOS!C:C,"INGRESO")</f>
        <v/>
      </c>
      <c r="C18" s="6">
        <f>SUMIFS(BASE_DATOS!F:F,BASE_DATOS!A:A,"Noviembre",BASE_DATOS!D:D,"Marketing / Ads",BASE_DATOS!C:C,"EGRESO")</f>
        <v/>
      </c>
    </row>
    <row r="19">
      <c r="A19" s="2" t="inlineStr">
        <is>
          <t>Inventario</t>
        </is>
      </c>
      <c r="B19" s="2">
        <f>SUMIFS(BASE_DATOS!F:F,BASE_DATOS!A:A,"Noviembre",BASE_DATOS!D:D,"Inventario",BASE_DATOS!C:C,"INGRESO")</f>
        <v/>
      </c>
      <c r="C19" s="2">
        <f>SUMIFS(BASE_DATOS!F:F,BASE_DATOS!A:A,"Noviembre",BASE_DATOS!D:D,"Inventario",BASE_DATOS!C:C,"EGRESO")</f>
        <v/>
      </c>
    </row>
    <row r="20">
      <c r="A20" s="6" t="inlineStr">
        <is>
          <t>Envíos</t>
        </is>
      </c>
      <c r="B20" s="6">
        <f>SUMIFS(BASE_DATOS!F:F,BASE_DATOS!A:A,"Noviembre",BASE_DATOS!D:D,"Envíos",BASE_DATOS!C:C,"INGRESO")</f>
        <v/>
      </c>
      <c r="C20" s="6">
        <f>SUMIFS(BASE_DATOS!F:F,BASE_DATOS!A:A,"Noviembre",BASE_DATOS!D:D,"Envíos",BASE_DATOS!C:C,"EGRESO")</f>
        <v/>
      </c>
    </row>
    <row r="21">
      <c r="A21" s="2" t="inlineStr">
        <is>
          <t>Materiales</t>
        </is>
      </c>
      <c r="B21" s="2">
        <f>SUMIFS(BASE_DATOS!F:F,BASE_DATOS!A:A,"Noviembre",BASE_DATOS!D:D,"Materiales",BASE_DATOS!C:C,"INGRESO")</f>
        <v/>
      </c>
      <c r="C21" s="2">
        <f>SUMIFS(BASE_DATOS!F:F,BASE_DATOS!A:A,"Noviembre",BASE_DATOS!D:D,"Materiales",BASE_DATOS!C:C,"EGRESO")</f>
        <v/>
      </c>
    </row>
    <row r="22">
      <c r="A22" s="6" t="inlineStr">
        <is>
          <t>Freelancers</t>
        </is>
      </c>
      <c r="B22" s="6">
        <f>SUMIFS(BASE_DATOS!F:F,BASE_DATOS!A:A,"Noviembre",BASE_DATOS!D:D,"Freelancers",BASE_DATOS!C:C,"INGRESO")</f>
        <v/>
      </c>
      <c r="C22" s="6">
        <f>SUMIFS(BASE_DATOS!F:F,BASE_DATOS!A:A,"Noviembre",BASE_DATOS!D:D,"Freelancers",BASE_DATOS!C:C,"EGRESO")</f>
        <v/>
      </c>
    </row>
    <row r="23">
      <c r="A23" s="2" t="inlineStr">
        <is>
          <t>Otros gastos variables</t>
        </is>
      </c>
      <c r="B23" s="2">
        <f>SUMIFS(BASE_DATOS!F:F,BASE_DATOS!A:A,"Noviembre",BASE_DATOS!D:D,"Otros gastos variables",BASE_DATOS!C:C,"INGRESO")</f>
        <v/>
      </c>
      <c r="C23" s="2">
        <f>SUMIFS(BASE_DATOS!F:F,BASE_DATOS!A:A,"Noviembre",BASE_DATOS!D:D,"Otros gastos variables",BASE_DATOS!C:C,"EGRESO")</f>
        <v/>
      </c>
    </row>
    <row r="24">
      <c r="A24" s="8" t="inlineStr">
        <is>
          <t>TOTAL INGRESOS</t>
        </is>
      </c>
      <c r="B24" s="8">
        <f>SUM(B5:B23)</f>
        <v/>
      </c>
      <c r="C24" s="6" t="n"/>
    </row>
    <row r="25">
      <c r="A25" s="9" t="inlineStr">
        <is>
          <t>TOTAL EGRESOS</t>
        </is>
      </c>
      <c r="B25" s="2" t="n"/>
      <c r="C25" s="9">
        <f>SUM(C5:C23)</f>
        <v/>
      </c>
    </row>
    <row r="26">
      <c r="A26" s="8" t="inlineStr">
        <is>
          <t>FLUJO NETO DEL MES</t>
        </is>
      </c>
      <c r="B26" s="8">
        <f>B24-C25</f>
        <v/>
      </c>
      <c r="C26" s="6" t="n"/>
    </row>
    <row r="27">
      <c r="A27" s="2" t="n"/>
      <c r="B27" s="2" t="n"/>
      <c r="C27" s="2" t="n"/>
    </row>
    <row r="28">
      <c r="A28" s="6" t="inlineStr">
        <is>
          <t>SALDO INICIAL</t>
        </is>
      </c>
      <c r="B28" s="6" t="n">
        <v>0</v>
      </c>
      <c r="C28" s="6" t="n"/>
    </row>
    <row r="29">
      <c r="A29" s="2" t="inlineStr">
        <is>
          <t>SALDO FINAL</t>
        </is>
      </c>
      <c r="B29" s="9">
        <f>B28+B26</f>
        <v/>
      </c>
      <c r="C29" s="2" t="n"/>
    </row>
  </sheetData>
  <mergeCells count="4">
    <mergeCell ref="A1:D1"/>
    <mergeCell ref="A4:C4"/>
    <mergeCell ref="A11:C11"/>
    <mergeCell ref="A17:C17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D29"/>
  <sheetViews>
    <sheetView workbookViewId="0">
      <selection activeCell="A1" sqref="A1"/>
    </sheetView>
  </sheetViews>
  <sheetFormatPr baseColWidth="8" defaultRowHeight="15"/>
  <cols>
    <col width="26" customWidth="1" min="1" max="1"/>
    <col width="26" customWidth="1" min="2" max="2"/>
    <col width="26" customWidth="1" min="3" max="3"/>
  </cols>
  <sheetData>
    <row r="1">
      <c r="A1" s="3" t="inlineStr">
        <is>
          <t>FLUJO DE CAJA - Diciembre</t>
        </is>
      </c>
    </row>
    <row r="3">
      <c r="A3" s="4" t="inlineStr">
        <is>
          <t>CATEGORÍA</t>
        </is>
      </c>
      <c r="B3" s="4" t="inlineStr">
        <is>
          <t>INGRESOS</t>
        </is>
      </c>
      <c r="C3" s="4" t="inlineStr">
        <is>
          <t>EGRESOS</t>
        </is>
      </c>
    </row>
    <row r="4">
      <c r="A4" s="5" t="inlineStr">
        <is>
          <t>INGRESOS</t>
        </is>
      </c>
      <c r="B4" s="6" t="n"/>
      <c r="C4" s="6" t="n"/>
    </row>
    <row r="5">
      <c r="A5" s="2" t="inlineStr">
        <is>
          <t>Ventas (productos)</t>
        </is>
      </c>
      <c r="B5" s="2">
        <f>SUMIFS(BASE_DATOS!F:F,BASE_DATOS!A:A,"Diciembre",BASE_DATOS!D:D,"Ventas (productos)",BASE_DATOS!C:C,"INGRESO")</f>
        <v/>
      </c>
      <c r="C5" s="2">
        <f>SUMIFS(BASE_DATOS!F:F,BASE_DATOS!A:A,"Diciembre",BASE_DATOS!D:D,"Ventas (productos)",BASE_DATOS!C:C,"EGRESO")</f>
        <v/>
      </c>
    </row>
    <row r="6">
      <c r="A6" s="6" t="inlineStr">
        <is>
          <t>Servicios profesionales</t>
        </is>
      </c>
      <c r="B6" s="6">
        <f>SUMIFS(BASE_DATOS!F:F,BASE_DATOS!A:A,"Diciembre",BASE_DATOS!D:D,"Servicios profesionales",BASE_DATOS!C:C,"INGRESO")</f>
        <v/>
      </c>
      <c r="C6" s="6">
        <f>SUMIFS(BASE_DATOS!F:F,BASE_DATOS!A:A,"Diciembre",BASE_DATOS!D:D,"Servicios profesionales",BASE_DATOS!C:C,"EGRESO")</f>
        <v/>
      </c>
    </row>
    <row r="7">
      <c r="A7" s="2" t="inlineStr">
        <is>
          <t>Afiliados</t>
        </is>
      </c>
      <c r="B7" s="2">
        <f>SUMIFS(BASE_DATOS!F:F,BASE_DATOS!A:A,"Diciembre",BASE_DATOS!D:D,"Afiliados",BASE_DATOS!C:C,"INGRESO")</f>
        <v/>
      </c>
      <c r="C7" s="2">
        <f>SUMIFS(BASE_DATOS!F:F,BASE_DATOS!A:A,"Diciembre",BASE_DATOS!D:D,"Afiliados",BASE_DATOS!C:C,"EGRESO")</f>
        <v/>
      </c>
    </row>
    <row r="8">
      <c r="A8" s="6" t="inlineStr">
        <is>
          <t>Cursos digitales</t>
        </is>
      </c>
      <c r="B8" s="6">
        <f>SUMIFS(BASE_DATOS!F:F,BASE_DATOS!A:A,"Diciembre",BASE_DATOS!D:D,"Cursos digitales",BASE_DATOS!C:C,"INGRESO")</f>
        <v/>
      </c>
      <c r="C8" s="6">
        <f>SUMIFS(BASE_DATOS!F:F,BASE_DATOS!A:A,"Diciembre",BASE_DATOS!D:D,"Cursos digitales",BASE_DATOS!C:C,"EGRESO")</f>
        <v/>
      </c>
    </row>
    <row r="9">
      <c r="A9" s="2" t="inlineStr">
        <is>
          <t>Membresías</t>
        </is>
      </c>
      <c r="B9" s="2">
        <f>SUMIFS(BASE_DATOS!F:F,BASE_DATOS!A:A,"Diciembre",BASE_DATOS!D:D,"Membresías",BASE_DATOS!C:C,"INGRESO")</f>
        <v/>
      </c>
      <c r="C9" s="2">
        <f>SUMIFS(BASE_DATOS!F:F,BASE_DATOS!A:A,"Diciembre",BASE_DATOS!D:D,"Membresías",BASE_DATOS!C:C,"EGRESO")</f>
        <v/>
      </c>
    </row>
    <row r="10">
      <c r="A10" s="6" t="inlineStr">
        <is>
          <t>Ingresos varios</t>
        </is>
      </c>
      <c r="B10" s="6">
        <f>SUMIFS(BASE_DATOS!F:F,BASE_DATOS!A:A,"Diciembre",BASE_DATOS!D:D,"Ingresos varios",BASE_DATOS!C:C,"INGRESO")</f>
        <v/>
      </c>
      <c r="C10" s="6">
        <f>SUMIFS(BASE_DATOS!F:F,BASE_DATOS!A:A,"Diciembre",BASE_DATOS!D:D,"Ingresos varios",BASE_DATOS!C:C,"EGRESO")</f>
        <v/>
      </c>
    </row>
    <row r="11">
      <c r="A11" s="7" t="inlineStr">
        <is>
          <t>GASTOS FIJOS</t>
        </is>
      </c>
      <c r="B11" s="2" t="n"/>
      <c r="C11" s="2" t="n"/>
    </row>
    <row r="12">
      <c r="A12" s="6" t="inlineStr">
        <is>
          <t>Renta</t>
        </is>
      </c>
      <c r="B12" s="6">
        <f>SUMIFS(BASE_DATOS!F:F,BASE_DATOS!A:A,"Diciembre",BASE_DATOS!D:D,"Renta",BASE_DATOS!C:C,"INGRESO")</f>
        <v/>
      </c>
      <c r="C12" s="6">
        <f>SUMIFS(BASE_DATOS!F:F,BASE_DATOS!A:A,"Diciembre",BASE_DATOS!D:D,"Renta",BASE_DATOS!C:C,"EGRESO")</f>
        <v/>
      </c>
    </row>
    <row r="13">
      <c r="A13" s="2" t="inlineStr">
        <is>
          <t>Nómina</t>
        </is>
      </c>
      <c r="B13" s="2">
        <f>SUMIFS(BASE_DATOS!F:F,BASE_DATOS!A:A,"Diciembre",BASE_DATOS!D:D,"Nómina",BASE_DATOS!C:C,"INGRESO")</f>
        <v/>
      </c>
      <c r="C13" s="2">
        <f>SUMIFS(BASE_DATOS!F:F,BASE_DATOS!A:A,"Diciembre",BASE_DATOS!D:D,"Nómina",BASE_DATOS!C:C,"EGRESO")</f>
        <v/>
      </c>
    </row>
    <row r="14">
      <c r="A14" s="6" t="inlineStr">
        <is>
          <t>Suscripciones</t>
        </is>
      </c>
      <c r="B14" s="6">
        <f>SUMIFS(BASE_DATOS!F:F,BASE_DATOS!A:A,"Diciembre",BASE_DATOS!D:D,"Suscripciones",BASE_DATOS!C:C,"INGRESO")</f>
        <v/>
      </c>
      <c r="C14" s="6">
        <f>SUMIFS(BASE_DATOS!F:F,BASE_DATOS!A:A,"Diciembre",BASE_DATOS!D:D,"Suscripciones",BASE_DATOS!C:C,"EGRESO")</f>
        <v/>
      </c>
    </row>
    <row r="15">
      <c r="A15" s="2" t="inlineStr">
        <is>
          <t>Servicios (luz/agua/internet)</t>
        </is>
      </c>
      <c r="B15" s="2">
        <f>SUMIFS(BASE_DATOS!F:F,BASE_DATOS!A:A,"Diciembre",BASE_DATOS!D:D,"Servicios (luz/agua/internet)",BASE_DATOS!C:C,"INGRESO")</f>
        <v/>
      </c>
      <c r="C15" s="2">
        <f>SUMIFS(BASE_DATOS!F:F,BASE_DATOS!A:A,"Diciembre",BASE_DATOS!D:D,"Servicios (luz/agua/internet)",BASE_DATOS!C:C,"EGRESO")</f>
        <v/>
      </c>
    </row>
    <row r="16">
      <c r="A16" s="6" t="inlineStr">
        <is>
          <t>Contabilidad / legal</t>
        </is>
      </c>
      <c r="B16" s="6">
        <f>SUMIFS(BASE_DATOS!F:F,BASE_DATOS!A:A,"Diciembre",BASE_DATOS!D:D,"Contabilidad / legal",BASE_DATOS!C:C,"INGRESO")</f>
        <v/>
      </c>
      <c r="C16" s="6">
        <f>SUMIFS(BASE_DATOS!F:F,BASE_DATOS!A:A,"Diciembre",BASE_DATOS!D:D,"Contabilidad / legal",BASE_DATOS!C:C,"EGRESO")</f>
        <v/>
      </c>
    </row>
    <row r="17">
      <c r="A17" s="7" t="inlineStr">
        <is>
          <t>GASTOS VARIABLES</t>
        </is>
      </c>
      <c r="B17" s="2" t="n"/>
      <c r="C17" s="2" t="n"/>
    </row>
    <row r="18">
      <c r="A18" s="6" t="inlineStr">
        <is>
          <t>Marketing / Ads</t>
        </is>
      </c>
      <c r="B18" s="6">
        <f>SUMIFS(BASE_DATOS!F:F,BASE_DATOS!A:A,"Diciembre",BASE_DATOS!D:D,"Marketing / Ads",BASE_DATOS!C:C,"INGRESO")</f>
        <v/>
      </c>
      <c r="C18" s="6">
        <f>SUMIFS(BASE_DATOS!F:F,BASE_DATOS!A:A,"Diciembre",BASE_DATOS!D:D,"Marketing / Ads",BASE_DATOS!C:C,"EGRESO")</f>
        <v/>
      </c>
    </row>
    <row r="19">
      <c r="A19" s="2" t="inlineStr">
        <is>
          <t>Inventario</t>
        </is>
      </c>
      <c r="B19" s="2">
        <f>SUMIFS(BASE_DATOS!F:F,BASE_DATOS!A:A,"Diciembre",BASE_DATOS!D:D,"Inventario",BASE_DATOS!C:C,"INGRESO")</f>
        <v/>
      </c>
      <c r="C19" s="2">
        <f>SUMIFS(BASE_DATOS!F:F,BASE_DATOS!A:A,"Diciembre",BASE_DATOS!D:D,"Inventario",BASE_DATOS!C:C,"EGRESO")</f>
        <v/>
      </c>
    </row>
    <row r="20">
      <c r="A20" s="6" t="inlineStr">
        <is>
          <t>Envíos</t>
        </is>
      </c>
      <c r="B20" s="6">
        <f>SUMIFS(BASE_DATOS!F:F,BASE_DATOS!A:A,"Diciembre",BASE_DATOS!D:D,"Envíos",BASE_DATOS!C:C,"INGRESO")</f>
        <v/>
      </c>
      <c r="C20" s="6">
        <f>SUMIFS(BASE_DATOS!F:F,BASE_DATOS!A:A,"Diciembre",BASE_DATOS!D:D,"Envíos",BASE_DATOS!C:C,"EGRESO")</f>
        <v/>
      </c>
    </row>
    <row r="21">
      <c r="A21" s="2" t="inlineStr">
        <is>
          <t>Materiales</t>
        </is>
      </c>
      <c r="B21" s="2">
        <f>SUMIFS(BASE_DATOS!F:F,BASE_DATOS!A:A,"Diciembre",BASE_DATOS!D:D,"Materiales",BASE_DATOS!C:C,"INGRESO")</f>
        <v/>
      </c>
      <c r="C21" s="2">
        <f>SUMIFS(BASE_DATOS!F:F,BASE_DATOS!A:A,"Diciembre",BASE_DATOS!D:D,"Materiales",BASE_DATOS!C:C,"EGRESO")</f>
        <v/>
      </c>
    </row>
    <row r="22">
      <c r="A22" s="6" t="inlineStr">
        <is>
          <t>Freelancers</t>
        </is>
      </c>
      <c r="B22" s="6">
        <f>SUMIFS(BASE_DATOS!F:F,BASE_DATOS!A:A,"Diciembre",BASE_DATOS!D:D,"Freelancers",BASE_DATOS!C:C,"INGRESO")</f>
        <v/>
      </c>
      <c r="C22" s="6">
        <f>SUMIFS(BASE_DATOS!F:F,BASE_DATOS!A:A,"Diciembre",BASE_DATOS!D:D,"Freelancers",BASE_DATOS!C:C,"EGRESO")</f>
        <v/>
      </c>
    </row>
    <row r="23">
      <c r="A23" s="2" t="inlineStr">
        <is>
          <t>Otros gastos variables</t>
        </is>
      </c>
      <c r="B23" s="2">
        <f>SUMIFS(BASE_DATOS!F:F,BASE_DATOS!A:A,"Diciembre",BASE_DATOS!D:D,"Otros gastos variables",BASE_DATOS!C:C,"INGRESO")</f>
        <v/>
      </c>
      <c r="C23" s="2">
        <f>SUMIFS(BASE_DATOS!F:F,BASE_DATOS!A:A,"Diciembre",BASE_DATOS!D:D,"Otros gastos variables",BASE_DATOS!C:C,"EGRESO")</f>
        <v/>
      </c>
    </row>
    <row r="24">
      <c r="A24" s="8" t="inlineStr">
        <is>
          <t>TOTAL INGRESOS</t>
        </is>
      </c>
      <c r="B24" s="8">
        <f>SUM(B5:B23)</f>
        <v/>
      </c>
      <c r="C24" s="6" t="n"/>
    </row>
    <row r="25">
      <c r="A25" s="9" t="inlineStr">
        <is>
          <t>TOTAL EGRESOS</t>
        </is>
      </c>
      <c r="B25" s="2" t="n"/>
      <c r="C25" s="9">
        <f>SUM(C5:C23)</f>
        <v/>
      </c>
    </row>
    <row r="26">
      <c r="A26" s="8" t="inlineStr">
        <is>
          <t>FLUJO NETO DEL MES</t>
        </is>
      </c>
      <c r="B26" s="8">
        <f>B24-C25</f>
        <v/>
      </c>
      <c r="C26" s="6" t="n"/>
    </row>
    <row r="27">
      <c r="A27" s="2" t="n"/>
      <c r="B27" s="2" t="n"/>
      <c r="C27" s="2" t="n"/>
    </row>
    <row r="28">
      <c r="A28" s="6" t="inlineStr">
        <is>
          <t>SALDO INICIAL</t>
        </is>
      </c>
      <c r="B28" s="6" t="n">
        <v>0</v>
      </c>
      <c r="C28" s="6" t="n"/>
    </row>
    <row r="29">
      <c r="A29" s="2" t="inlineStr">
        <is>
          <t>SALDO FINAL</t>
        </is>
      </c>
      <c r="B29" s="9">
        <f>B28+B26</f>
        <v/>
      </c>
      <c r="C29" s="2" t="n"/>
    </row>
  </sheetData>
  <mergeCells count="4">
    <mergeCell ref="A1:D1"/>
    <mergeCell ref="A4:C4"/>
    <mergeCell ref="A11:C11"/>
    <mergeCell ref="A17:C17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J23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</cols>
  <sheetData>
    <row r="1">
      <c r="A1" s="10" t="inlineStr">
        <is>
          <t>Dashboard Financiero Anual - Stuguia</t>
        </is>
      </c>
    </row>
    <row r="3">
      <c r="A3" s="11" t="inlineStr">
        <is>
          <t>Ingresos anuales totales</t>
        </is>
      </c>
      <c r="B3">
        <f>SUM(B12:B23)</f>
        <v/>
      </c>
    </row>
    <row r="4">
      <c r="A4" s="11" t="inlineStr">
        <is>
          <t>Egresos anuales totales</t>
        </is>
      </c>
      <c r="B4">
        <f>SUM(C12:C23)</f>
        <v/>
      </c>
    </row>
    <row r="5">
      <c r="A5" s="11" t="inlineStr">
        <is>
          <t>Utilidad neta anual</t>
        </is>
      </c>
      <c r="B5">
        <f>SUM(D12:D23)</f>
        <v/>
      </c>
    </row>
    <row r="6">
      <c r="A6" s="11" t="inlineStr">
        <is>
          <t>Margen (%)</t>
        </is>
      </c>
      <c r="B6">
        <f>IF(B3&gt;0,B5/B3,0)</f>
        <v/>
      </c>
    </row>
    <row r="7">
      <c r="A7" s="11" t="inlineStr">
        <is>
          <t>Mejor mes (flujo neto)</t>
        </is>
      </c>
      <c r="B7">
        <f>INDEX(A12:A23,MATCH(MAX(D12:D23),D12:D23,0))</f>
        <v/>
      </c>
    </row>
    <row r="8">
      <c r="A8" s="11" t="inlineStr">
        <is>
          <t>Peor mes (flujo neto)</t>
        </is>
      </c>
      <c r="B8">
        <f>INDEX(A12:A23,MATCH(MIN(D12:D23),D12:D23,0))</f>
        <v/>
      </c>
    </row>
    <row r="10">
      <c r="F10" s="11" t="inlineStr">
        <is>
          <t>Ingresos por categoría</t>
        </is>
      </c>
      <c r="I10" s="11" t="inlineStr">
        <is>
          <t>Gastos por categoría</t>
        </is>
      </c>
    </row>
    <row r="11">
      <c r="A11" s="1" t="inlineStr">
        <is>
          <t>Mes</t>
        </is>
      </c>
      <c r="B11" s="1" t="inlineStr">
        <is>
          <t>Ingresos</t>
        </is>
      </c>
      <c r="C11" s="1" t="inlineStr">
        <is>
          <t>Egresos</t>
        </is>
      </c>
      <c r="D11" s="1" t="inlineStr">
        <is>
          <t>Flujo Neto</t>
        </is>
      </c>
      <c r="F11" s="12" t="inlineStr">
        <is>
          <t>Categoría</t>
        </is>
      </c>
      <c r="G11" s="12" t="inlineStr">
        <is>
          <t>Total Ingresos</t>
        </is>
      </c>
      <c r="I11" s="12" t="inlineStr">
        <is>
          <t>Categoría</t>
        </is>
      </c>
      <c r="J11" s="12" t="inlineStr">
        <is>
          <t>Total Gastos</t>
        </is>
      </c>
    </row>
    <row r="12">
      <c r="A12" t="inlineStr">
        <is>
          <t>Enero</t>
        </is>
      </c>
      <c r="B12">
        <f>SUMIFS(BASE_DATOS!F:F,BASE_DATOS!A:A,"Enero",BASE_DATOS!C:C,"INGRESO")</f>
        <v/>
      </c>
      <c r="C12">
        <f>SUMIFS(BASE_DATOS!F:F,BASE_DATOS!A:A,"Enero",BASE_DATOS!C:C,"EGRESO")</f>
        <v/>
      </c>
      <c r="D12">
        <f>B12-C12</f>
        <v/>
      </c>
      <c r="F12" t="inlineStr">
        <is>
          <t>Ventas (productos)</t>
        </is>
      </c>
      <c r="G12">
        <f>SUMIFS(BASE_DATOS!F:F,BASE_DATOS!D:D,"Ventas (productos)",BASE_DATOS!C:C,"INGRESO")</f>
        <v/>
      </c>
      <c r="I12" t="inlineStr">
        <is>
          <t>Renta</t>
        </is>
      </c>
      <c r="J12">
        <f>SUMIFS(BASE_DATOS!F:F,BASE_DATOS!D:D,"Renta",BASE_DATOS!C:C,"EGRESO")</f>
        <v/>
      </c>
    </row>
    <row r="13">
      <c r="A13" t="inlineStr">
        <is>
          <t>Febrero</t>
        </is>
      </c>
      <c r="B13">
        <f>SUMIFS(BASE_DATOS!F:F,BASE_DATOS!A:A,"Febrero",BASE_DATOS!C:C,"INGRESO")</f>
        <v/>
      </c>
      <c r="C13">
        <f>SUMIFS(BASE_DATOS!F:F,BASE_DATOS!A:A,"Febrero",BASE_DATOS!C:C,"EGRESO")</f>
        <v/>
      </c>
      <c r="D13">
        <f>B13-C13</f>
        <v/>
      </c>
      <c r="F13" t="inlineStr">
        <is>
          <t>Servicios profesionales</t>
        </is>
      </c>
      <c r="G13">
        <f>SUMIFS(BASE_DATOS!F:F,BASE_DATOS!D:D,"Servicios profesionales",BASE_DATOS!C:C,"INGRESO")</f>
        <v/>
      </c>
      <c r="I13" t="inlineStr">
        <is>
          <t>Nómina</t>
        </is>
      </c>
      <c r="J13">
        <f>SUMIFS(BASE_DATOS!F:F,BASE_DATOS!D:D,"Nómina",BASE_DATOS!C:C,"EGRESO")</f>
        <v/>
      </c>
    </row>
    <row r="14">
      <c r="A14" t="inlineStr">
        <is>
          <t>Marzo</t>
        </is>
      </c>
      <c r="B14">
        <f>SUMIFS(BASE_DATOS!F:F,BASE_DATOS!A:A,"Marzo",BASE_DATOS!C:C,"INGRESO")</f>
        <v/>
      </c>
      <c r="C14">
        <f>SUMIFS(BASE_DATOS!F:F,BASE_DATOS!A:A,"Marzo",BASE_DATOS!C:C,"EGRESO")</f>
        <v/>
      </c>
      <c r="D14">
        <f>B14-C14</f>
        <v/>
      </c>
      <c r="F14" t="inlineStr">
        <is>
          <t>Afiliados</t>
        </is>
      </c>
      <c r="G14">
        <f>SUMIFS(BASE_DATOS!F:F,BASE_DATOS!D:D,"Afiliados",BASE_DATOS!C:C,"INGRESO")</f>
        <v/>
      </c>
      <c r="I14" t="inlineStr">
        <is>
          <t>Suscripciones</t>
        </is>
      </c>
      <c r="J14">
        <f>SUMIFS(BASE_DATOS!F:F,BASE_DATOS!D:D,"Suscripciones",BASE_DATOS!C:C,"EGRESO")</f>
        <v/>
      </c>
    </row>
    <row r="15">
      <c r="A15" t="inlineStr">
        <is>
          <t>Abril</t>
        </is>
      </c>
      <c r="B15">
        <f>SUMIFS(BASE_DATOS!F:F,BASE_DATOS!A:A,"Abril",BASE_DATOS!C:C,"INGRESO")</f>
        <v/>
      </c>
      <c r="C15">
        <f>SUMIFS(BASE_DATOS!F:F,BASE_DATOS!A:A,"Abril",BASE_DATOS!C:C,"EGRESO")</f>
        <v/>
      </c>
      <c r="D15">
        <f>B15-C15</f>
        <v/>
      </c>
      <c r="F15" t="inlineStr">
        <is>
          <t>Cursos digitales</t>
        </is>
      </c>
      <c r="G15">
        <f>SUMIFS(BASE_DATOS!F:F,BASE_DATOS!D:D,"Cursos digitales",BASE_DATOS!C:C,"INGRESO")</f>
        <v/>
      </c>
      <c r="I15" t="inlineStr">
        <is>
          <t>Servicios (luz/agua/internet)</t>
        </is>
      </c>
      <c r="J15">
        <f>SUMIFS(BASE_DATOS!F:F,BASE_DATOS!D:D,"Servicios (luz/agua/internet)",BASE_DATOS!C:C,"EGRESO")</f>
        <v/>
      </c>
    </row>
    <row r="16">
      <c r="A16" t="inlineStr">
        <is>
          <t>Mayo</t>
        </is>
      </c>
      <c r="B16">
        <f>SUMIFS(BASE_DATOS!F:F,BASE_DATOS!A:A,"Mayo",BASE_DATOS!C:C,"INGRESO")</f>
        <v/>
      </c>
      <c r="C16">
        <f>SUMIFS(BASE_DATOS!F:F,BASE_DATOS!A:A,"Mayo",BASE_DATOS!C:C,"EGRESO")</f>
        <v/>
      </c>
      <c r="D16">
        <f>B16-C16</f>
        <v/>
      </c>
      <c r="F16" t="inlineStr">
        <is>
          <t>Membresías</t>
        </is>
      </c>
      <c r="G16">
        <f>SUMIFS(BASE_DATOS!F:F,BASE_DATOS!D:D,"Membresías",BASE_DATOS!C:C,"INGRESO")</f>
        <v/>
      </c>
      <c r="I16" t="inlineStr">
        <is>
          <t>Contabilidad / legal</t>
        </is>
      </c>
      <c r="J16">
        <f>SUMIFS(BASE_DATOS!F:F,BASE_DATOS!D:D,"Contabilidad / legal",BASE_DATOS!C:C,"EGRESO")</f>
        <v/>
      </c>
    </row>
    <row r="17">
      <c r="A17" t="inlineStr">
        <is>
          <t>Junio</t>
        </is>
      </c>
      <c r="B17">
        <f>SUMIFS(BASE_DATOS!F:F,BASE_DATOS!A:A,"Junio",BASE_DATOS!C:C,"INGRESO")</f>
        <v/>
      </c>
      <c r="C17">
        <f>SUMIFS(BASE_DATOS!F:F,BASE_DATOS!A:A,"Junio",BASE_DATOS!C:C,"EGRESO")</f>
        <v/>
      </c>
      <c r="D17">
        <f>B17-C17</f>
        <v/>
      </c>
      <c r="F17" t="inlineStr">
        <is>
          <t>Ingresos varios</t>
        </is>
      </c>
      <c r="G17">
        <f>SUMIFS(BASE_DATOS!F:F,BASE_DATOS!D:D,"Ingresos varios",BASE_DATOS!C:C,"INGRESO")</f>
        <v/>
      </c>
      <c r="I17" t="inlineStr">
        <is>
          <t>Marketing / Ads</t>
        </is>
      </c>
      <c r="J17">
        <f>SUMIFS(BASE_DATOS!F:F,BASE_DATOS!D:D,"Marketing / Ads",BASE_DATOS!C:C,"EGRESO")</f>
        <v/>
      </c>
    </row>
    <row r="18">
      <c r="A18" t="inlineStr">
        <is>
          <t>Julio</t>
        </is>
      </c>
      <c r="B18">
        <f>SUMIFS(BASE_DATOS!F:F,BASE_DATOS!A:A,"Julio",BASE_DATOS!C:C,"INGRESO")</f>
        <v/>
      </c>
      <c r="C18">
        <f>SUMIFS(BASE_DATOS!F:F,BASE_DATOS!A:A,"Julio",BASE_DATOS!C:C,"EGRESO")</f>
        <v/>
      </c>
      <c r="D18">
        <f>B18-C18</f>
        <v/>
      </c>
      <c r="I18" t="inlineStr">
        <is>
          <t>Inventario</t>
        </is>
      </c>
      <c r="J18">
        <f>SUMIFS(BASE_DATOS!F:F,BASE_DATOS!D:D,"Inventario",BASE_DATOS!C:C,"EGRESO")</f>
        <v/>
      </c>
    </row>
    <row r="19">
      <c r="A19" t="inlineStr">
        <is>
          <t>Agosto</t>
        </is>
      </c>
      <c r="B19">
        <f>SUMIFS(BASE_DATOS!F:F,BASE_DATOS!A:A,"Agosto",BASE_DATOS!C:C,"INGRESO")</f>
        <v/>
      </c>
      <c r="C19">
        <f>SUMIFS(BASE_DATOS!F:F,BASE_DATOS!A:A,"Agosto",BASE_DATOS!C:C,"EGRESO")</f>
        <v/>
      </c>
      <c r="D19">
        <f>B19-C19</f>
        <v/>
      </c>
      <c r="I19" t="inlineStr">
        <is>
          <t>Envíos</t>
        </is>
      </c>
      <c r="J19">
        <f>SUMIFS(BASE_DATOS!F:F,BASE_DATOS!D:D,"Envíos",BASE_DATOS!C:C,"EGRESO")</f>
        <v/>
      </c>
    </row>
    <row r="20">
      <c r="A20" t="inlineStr">
        <is>
          <t>Septiembre</t>
        </is>
      </c>
      <c r="B20">
        <f>SUMIFS(BASE_DATOS!F:F,BASE_DATOS!A:A,"Septiembre",BASE_DATOS!C:C,"INGRESO")</f>
        <v/>
      </c>
      <c r="C20">
        <f>SUMIFS(BASE_DATOS!F:F,BASE_DATOS!A:A,"Septiembre",BASE_DATOS!C:C,"EGRESO")</f>
        <v/>
      </c>
      <c r="D20">
        <f>B20-C20</f>
        <v/>
      </c>
      <c r="I20" t="inlineStr">
        <is>
          <t>Materiales</t>
        </is>
      </c>
      <c r="J20">
        <f>SUMIFS(BASE_DATOS!F:F,BASE_DATOS!D:D,"Materiales",BASE_DATOS!C:C,"EGRESO")</f>
        <v/>
      </c>
    </row>
    <row r="21">
      <c r="A21" t="inlineStr">
        <is>
          <t>Octubre</t>
        </is>
      </c>
      <c r="B21">
        <f>SUMIFS(BASE_DATOS!F:F,BASE_DATOS!A:A,"Octubre",BASE_DATOS!C:C,"INGRESO")</f>
        <v/>
      </c>
      <c r="C21">
        <f>SUMIFS(BASE_DATOS!F:F,BASE_DATOS!A:A,"Octubre",BASE_DATOS!C:C,"EGRESO")</f>
        <v/>
      </c>
      <c r="D21">
        <f>B21-C21</f>
        <v/>
      </c>
      <c r="I21" t="inlineStr">
        <is>
          <t>Freelancers</t>
        </is>
      </c>
      <c r="J21">
        <f>SUMIFS(BASE_DATOS!F:F,BASE_DATOS!D:D,"Freelancers",BASE_DATOS!C:C,"EGRESO")</f>
        <v/>
      </c>
    </row>
    <row r="22">
      <c r="A22" t="inlineStr">
        <is>
          <t>Noviembre</t>
        </is>
      </c>
      <c r="B22">
        <f>SUMIFS(BASE_DATOS!F:F,BASE_DATOS!A:A,"Noviembre",BASE_DATOS!C:C,"INGRESO")</f>
        <v/>
      </c>
      <c r="C22">
        <f>SUMIFS(BASE_DATOS!F:F,BASE_DATOS!A:A,"Noviembre",BASE_DATOS!C:C,"EGRESO")</f>
        <v/>
      </c>
      <c r="D22">
        <f>B22-C22</f>
        <v/>
      </c>
      <c r="I22" t="inlineStr">
        <is>
          <t>Otros gastos variables</t>
        </is>
      </c>
      <c r="J22">
        <f>SUMIFS(BASE_DATOS!F:F,BASE_DATOS!D:D,"Otros gastos variables",BASE_DATOS!C:C,"EGRESO")</f>
        <v/>
      </c>
    </row>
    <row r="23">
      <c r="A23" t="inlineStr">
        <is>
          <t>Diciembre</t>
        </is>
      </c>
      <c r="B23">
        <f>SUMIFS(BASE_DATOS!F:F,BASE_DATOS!A:A,"Diciembre",BASE_DATOS!C:C,"INGRESO")</f>
        <v/>
      </c>
      <c r="C23">
        <f>SUMIFS(BASE_DATOS!F:F,BASE_DATOS!A:A,"Diciembre",BASE_DATOS!C:C,"EGRESO")</f>
        <v/>
      </c>
      <c r="D23">
        <f>B23-C23</f>
        <v/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9"/>
  <sheetViews>
    <sheetView workbookViewId="0">
      <selection activeCell="A1" sqref="A1"/>
    </sheetView>
  </sheetViews>
  <sheetFormatPr baseColWidth="8" defaultRowHeight="15"/>
  <cols>
    <col width="26" customWidth="1" min="1" max="1"/>
    <col width="26" customWidth="1" min="2" max="2"/>
    <col width="26" customWidth="1" min="3" max="3"/>
  </cols>
  <sheetData>
    <row r="1">
      <c r="A1" s="3" t="inlineStr">
        <is>
          <t>FLUJO DE CAJA - Enero</t>
        </is>
      </c>
    </row>
    <row r="3">
      <c r="A3" s="4" t="inlineStr">
        <is>
          <t>CATEGORÍA</t>
        </is>
      </c>
      <c r="B3" s="4" t="inlineStr">
        <is>
          <t>INGRESOS</t>
        </is>
      </c>
      <c r="C3" s="4" t="inlineStr">
        <is>
          <t>EGRESOS</t>
        </is>
      </c>
    </row>
    <row r="4">
      <c r="A4" s="5" t="inlineStr">
        <is>
          <t>INGRESOS</t>
        </is>
      </c>
      <c r="B4" s="6" t="n"/>
      <c r="C4" s="6" t="n"/>
    </row>
    <row r="5">
      <c r="A5" s="2" t="inlineStr">
        <is>
          <t>Ventas (productos)</t>
        </is>
      </c>
      <c r="B5" s="2">
        <f>SUMIFS(BASE_DATOS!F:F,BASE_DATOS!A:A,"Enero",BASE_DATOS!D:D,"Ventas (productos)",BASE_DATOS!C:C,"INGRESO")</f>
        <v/>
      </c>
      <c r="C5" s="2">
        <f>SUMIFS(BASE_DATOS!F:F,BASE_DATOS!A:A,"Enero",BASE_DATOS!D:D,"Ventas (productos)",BASE_DATOS!C:C,"EGRESO")</f>
        <v/>
      </c>
    </row>
    <row r="6">
      <c r="A6" s="6" t="inlineStr">
        <is>
          <t>Servicios profesionales</t>
        </is>
      </c>
      <c r="B6" s="6">
        <f>SUMIFS(BASE_DATOS!F:F,BASE_DATOS!A:A,"Enero",BASE_DATOS!D:D,"Servicios profesionales",BASE_DATOS!C:C,"INGRESO")</f>
        <v/>
      </c>
      <c r="C6" s="6">
        <f>SUMIFS(BASE_DATOS!F:F,BASE_DATOS!A:A,"Enero",BASE_DATOS!D:D,"Servicios profesionales",BASE_DATOS!C:C,"EGRESO")</f>
        <v/>
      </c>
    </row>
    <row r="7">
      <c r="A7" s="2" t="inlineStr">
        <is>
          <t>Afiliados</t>
        </is>
      </c>
      <c r="B7" s="2">
        <f>SUMIFS(BASE_DATOS!F:F,BASE_DATOS!A:A,"Enero",BASE_DATOS!D:D,"Afiliados",BASE_DATOS!C:C,"INGRESO")</f>
        <v/>
      </c>
      <c r="C7" s="2">
        <f>SUMIFS(BASE_DATOS!F:F,BASE_DATOS!A:A,"Enero",BASE_DATOS!D:D,"Afiliados",BASE_DATOS!C:C,"EGRESO")</f>
        <v/>
      </c>
    </row>
    <row r="8">
      <c r="A8" s="6" t="inlineStr">
        <is>
          <t>Cursos digitales</t>
        </is>
      </c>
      <c r="B8" s="6">
        <f>SUMIFS(BASE_DATOS!F:F,BASE_DATOS!A:A,"Enero",BASE_DATOS!D:D,"Cursos digitales",BASE_DATOS!C:C,"INGRESO")</f>
        <v/>
      </c>
      <c r="C8" s="6">
        <f>SUMIFS(BASE_DATOS!F:F,BASE_DATOS!A:A,"Enero",BASE_DATOS!D:D,"Cursos digitales",BASE_DATOS!C:C,"EGRESO")</f>
        <v/>
      </c>
    </row>
    <row r="9">
      <c r="A9" s="2" t="inlineStr">
        <is>
          <t>Membresías</t>
        </is>
      </c>
      <c r="B9" s="2">
        <f>SUMIFS(BASE_DATOS!F:F,BASE_DATOS!A:A,"Enero",BASE_DATOS!D:D,"Membresías",BASE_DATOS!C:C,"INGRESO")</f>
        <v/>
      </c>
      <c r="C9" s="2">
        <f>SUMIFS(BASE_DATOS!F:F,BASE_DATOS!A:A,"Enero",BASE_DATOS!D:D,"Membresías",BASE_DATOS!C:C,"EGRESO")</f>
        <v/>
      </c>
    </row>
    <row r="10">
      <c r="A10" s="6" t="inlineStr">
        <is>
          <t>Ingresos varios</t>
        </is>
      </c>
      <c r="B10" s="6">
        <f>SUMIFS(BASE_DATOS!F:F,BASE_DATOS!A:A,"Enero",BASE_DATOS!D:D,"Ingresos varios",BASE_DATOS!C:C,"INGRESO")</f>
        <v/>
      </c>
      <c r="C10" s="6">
        <f>SUMIFS(BASE_DATOS!F:F,BASE_DATOS!A:A,"Enero",BASE_DATOS!D:D,"Ingresos varios",BASE_DATOS!C:C,"EGRESO")</f>
        <v/>
      </c>
    </row>
    <row r="11">
      <c r="A11" s="7" t="inlineStr">
        <is>
          <t>GASTOS FIJOS</t>
        </is>
      </c>
      <c r="B11" s="2" t="n"/>
      <c r="C11" s="2" t="n"/>
    </row>
    <row r="12">
      <c r="A12" s="6" t="inlineStr">
        <is>
          <t>Renta</t>
        </is>
      </c>
      <c r="B12" s="6">
        <f>SUMIFS(BASE_DATOS!F:F,BASE_DATOS!A:A,"Enero",BASE_DATOS!D:D,"Renta",BASE_DATOS!C:C,"INGRESO")</f>
        <v/>
      </c>
      <c r="C12" s="6">
        <f>SUMIFS(BASE_DATOS!F:F,BASE_DATOS!A:A,"Enero",BASE_DATOS!D:D,"Renta",BASE_DATOS!C:C,"EGRESO")</f>
        <v/>
      </c>
    </row>
    <row r="13">
      <c r="A13" s="2" t="inlineStr">
        <is>
          <t>Nómina</t>
        </is>
      </c>
      <c r="B13" s="2">
        <f>SUMIFS(BASE_DATOS!F:F,BASE_DATOS!A:A,"Enero",BASE_DATOS!D:D,"Nómina",BASE_DATOS!C:C,"INGRESO")</f>
        <v/>
      </c>
      <c r="C13" s="2">
        <f>SUMIFS(BASE_DATOS!F:F,BASE_DATOS!A:A,"Enero",BASE_DATOS!D:D,"Nómina",BASE_DATOS!C:C,"EGRESO")</f>
        <v/>
      </c>
    </row>
    <row r="14">
      <c r="A14" s="6" t="inlineStr">
        <is>
          <t>Suscripciones</t>
        </is>
      </c>
      <c r="B14" s="6">
        <f>SUMIFS(BASE_DATOS!F:F,BASE_DATOS!A:A,"Enero",BASE_DATOS!D:D,"Suscripciones",BASE_DATOS!C:C,"INGRESO")</f>
        <v/>
      </c>
      <c r="C14" s="6">
        <f>SUMIFS(BASE_DATOS!F:F,BASE_DATOS!A:A,"Enero",BASE_DATOS!D:D,"Suscripciones",BASE_DATOS!C:C,"EGRESO")</f>
        <v/>
      </c>
    </row>
    <row r="15">
      <c r="A15" s="2" t="inlineStr">
        <is>
          <t>Servicios (luz/agua/internet)</t>
        </is>
      </c>
      <c r="B15" s="2">
        <f>SUMIFS(BASE_DATOS!F:F,BASE_DATOS!A:A,"Enero",BASE_DATOS!D:D,"Servicios (luz/agua/internet)",BASE_DATOS!C:C,"INGRESO")</f>
        <v/>
      </c>
      <c r="C15" s="2">
        <f>SUMIFS(BASE_DATOS!F:F,BASE_DATOS!A:A,"Enero",BASE_DATOS!D:D,"Servicios (luz/agua/internet)",BASE_DATOS!C:C,"EGRESO")</f>
        <v/>
      </c>
    </row>
    <row r="16">
      <c r="A16" s="6" t="inlineStr">
        <is>
          <t>Contabilidad / legal</t>
        </is>
      </c>
      <c r="B16" s="6">
        <f>SUMIFS(BASE_DATOS!F:F,BASE_DATOS!A:A,"Enero",BASE_DATOS!D:D,"Contabilidad / legal",BASE_DATOS!C:C,"INGRESO")</f>
        <v/>
      </c>
      <c r="C16" s="6">
        <f>SUMIFS(BASE_DATOS!F:F,BASE_DATOS!A:A,"Enero",BASE_DATOS!D:D,"Contabilidad / legal",BASE_DATOS!C:C,"EGRESO")</f>
        <v/>
      </c>
    </row>
    <row r="17">
      <c r="A17" s="7" t="inlineStr">
        <is>
          <t>GASTOS VARIABLES</t>
        </is>
      </c>
      <c r="B17" s="2" t="n"/>
      <c r="C17" s="2" t="n"/>
    </row>
    <row r="18">
      <c r="A18" s="6" t="inlineStr">
        <is>
          <t>Marketing / Ads</t>
        </is>
      </c>
      <c r="B18" s="6">
        <f>SUMIFS(BASE_DATOS!F:F,BASE_DATOS!A:A,"Enero",BASE_DATOS!D:D,"Marketing / Ads",BASE_DATOS!C:C,"INGRESO")</f>
        <v/>
      </c>
      <c r="C18" s="6">
        <f>SUMIFS(BASE_DATOS!F:F,BASE_DATOS!A:A,"Enero",BASE_DATOS!D:D,"Marketing / Ads",BASE_DATOS!C:C,"EGRESO")</f>
        <v/>
      </c>
    </row>
    <row r="19">
      <c r="A19" s="2" t="inlineStr">
        <is>
          <t>Inventario</t>
        </is>
      </c>
      <c r="B19" s="2">
        <f>SUMIFS(BASE_DATOS!F:F,BASE_DATOS!A:A,"Enero",BASE_DATOS!D:D,"Inventario",BASE_DATOS!C:C,"INGRESO")</f>
        <v/>
      </c>
      <c r="C19" s="2">
        <f>SUMIFS(BASE_DATOS!F:F,BASE_DATOS!A:A,"Enero",BASE_DATOS!D:D,"Inventario",BASE_DATOS!C:C,"EGRESO")</f>
        <v/>
      </c>
    </row>
    <row r="20">
      <c r="A20" s="6" t="inlineStr">
        <is>
          <t>Envíos</t>
        </is>
      </c>
      <c r="B20" s="6">
        <f>SUMIFS(BASE_DATOS!F:F,BASE_DATOS!A:A,"Enero",BASE_DATOS!D:D,"Envíos",BASE_DATOS!C:C,"INGRESO")</f>
        <v/>
      </c>
      <c r="C20" s="6">
        <f>SUMIFS(BASE_DATOS!F:F,BASE_DATOS!A:A,"Enero",BASE_DATOS!D:D,"Envíos",BASE_DATOS!C:C,"EGRESO")</f>
        <v/>
      </c>
    </row>
    <row r="21">
      <c r="A21" s="2" t="inlineStr">
        <is>
          <t>Materiales</t>
        </is>
      </c>
      <c r="B21" s="2">
        <f>SUMIFS(BASE_DATOS!F:F,BASE_DATOS!A:A,"Enero",BASE_DATOS!D:D,"Materiales",BASE_DATOS!C:C,"INGRESO")</f>
        <v/>
      </c>
      <c r="C21" s="2">
        <f>SUMIFS(BASE_DATOS!F:F,BASE_DATOS!A:A,"Enero",BASE_DATOS!D:D,"Materiales",BASE_DATOS!C:C,"EGRESO")</f>
        <v/>
      </c>
    </row>
    <row r="22">
      <c r="A22" s="6" t="inlineStr">
        <is>
          <t>Freelancers</t>
        </is>
      </c>
      <c r="B22" s="6">
        <f>SUMIFS(BASE_DATOS!F:F,BASE_DATOS!A:A,"Enero",BASE_DATOS!D:D,"Freelancers",BASE_DATOS!C:C,"INGRESO")</f>
        <v/>
      </c>
      <c r="C22" s="6">
        <f>SUMIFS(BASE_DATOS!F:F,BASE_DATOS!A:A,"Enero",BASE_DATOS!D:D,"Freelancers",BASE_DATOS!C:C,"EGRESO")</f>
        <v/>
      </c>
    </row>
    <row r="23">
      <c r="A23" s="2" t="inlineStr">
        <is>
          <t>Otros gastos variables</t>
        </is>
      </c>
      <c r="B23" s="2">
        <f>SUMIFS(BASE_DATOS!F:F,BASE_DATOS!A:A,"Enero",BASE_DATOS!D:D,"Otros gastos variables",BASE_DATOS!C:C,"INGRESO")</f>
        <v/>
      </c>
      <c r="C23" s="2">
        <f>SUMIFS(BASE_DATOS!F:F,BASE_DATOS!A:A,"Enero",BASE_DATOS!D:D,"Otros gastos variables",BASE_DATOS!C:C,"EGRESO")</f>
        <v/>
      </c>
    </row>
    <row r="24">
      <c r="A24" s="8" t="inlineStr">
        <is>
          <t>TOTAL INGRESOS</t>
        </is>
      </c>
      <c r="B24" s="8">
        <f>SUM(B5:B23)</f>
        <v/>
      </c>
      <c r="C24" s="6" t="n"/>
    </row>
    <row r="25">
      <c r="A25" s="9" t="inlineStr">
        <is>
          <t>TOTAL EGRESOS</t>
        </is>
      </c>
      <c r="B25" s="2" t="n"/>
      <c r="C25" s="9">
        <f>SUM(C5:C23)</f>
        <v/>
      </c>
    </row>
    <row r="26">
      <c r="A26" s="8" t="inlineStr">
        <is>
          <t>FLUJO NETO DEL MES</t>
        </is>
      </c>
      <c r="B26" s="8">
        <f>B24-C25</f>
        <v/>
      </c>
      <c r="C26" s="6" t="n"/>
    </row>
    <row r="27">
      <c r="A27" s="2" t="n"/>
      <c r="B27" s="2" t="n"/>
      <c r="C27" s="2" t="n"/>
    </row>
    <row r="28">
      <c r="A28" s="6" t="inlineStr">
        <is>
          <t>SALDO INICIAL</t>
        </is>
      </c>
      <c r="B28" s="6" t="n">
        <v>0</v>
      </c>
      <c r="C28" s="6" t="n"/>
    </row>
    <row r="29">
      <c r="A29" s="2" t="inlineStr">
        <is>
          <t>SALDO FINAL</t>
        </is>
      </c>
      <c r="B29" s="9">
        <f>B28+B26</f>
        <v/>
      </c>
      <c r="C29" s="2" t="n"/>
    </row>
  </sheetData>
  <mergeCells count="4">
    <mergeCell ref="A1:D1"/>
    <mergeCell ref="A4:C4"/>
    <mergeCell ref="A11:C11"/>
    <mergeCell ref="A17:C17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9"/>
  <sheetViews>
    <sheetView workbookViewId="0">
      <selection activeCell="A1" sqref="A1"/>
    </sheetView>
  </sheetViews>
  <sheetFormatPr baseColWidth="8" defaultRowHeight="15"/>
  <cols>
    <col width="26" customWidth="1" min="1" max="1"/>
    <col width="26" customWidth="1" min="2" max="2"/>
    <col width="26" customWidth="1" min="3" max="3"/>
  </cols>
  <sheetData>
    <row r="1">
      <c r="A1" s="3" t="inlineStr">
        <is>
          <t>FLUJO DE CAJA - Febrero</t>
        </is>
      </c>
    </row>
    <row r="3">
      <c r="A3" s="4" t="inlineStr">
        <is>
          <t>CATEGORÍA</t>
        </is>
      </c>
      <c r="B3" s="4" t="inlineStr">
        <is>
          <t>INGRESOS</t>
        </is>
      </c>
      <c r="C3" s="4" t="inlineStr">
        <is>
          <t>EGRESOS</t>
        </is>
      </c>
    </row>
    <row r="4">
      <c r="A4" s="5" t="inlineStr">
        <is>
          <t>INGRESOS</t>
        </is>
      </c>
      <c r="B4" s="6" t="n"/>
      <c r="C4" s="6" t="n"/>
    </row>
    <row r="5">
      <c r="A5" s="2" t="inlineStr">
        <is>
          <t>Ventas (productos)</t>
        </is>
      </c>
      <c r="B5" s="2">
        <f>SUMIFS(BASE_DATOS!F:F,BASE_DATOS!A:A,"Febrero",BASE_DATOS!D:D,"Ventas (productos)",BASE_DATOS!C:C,"INGRESO")</f>
        <v/>
      </c>
      <c r="C5" s="2">
        <f>SUMIFS(BASE_DATOS!F:F,BASE_DATOS!A:A,"Febrero",BASE_DATOS!D:D,"Ventas (productos)",BASE_DATOS!C:C,"EGRESO")</f>
        <v/>
      </c>
    </row>
    <row r="6">
      <c r="A6" s="6" t="inlineStr">
        <is>
          <t>Servicios profesionales</t>
        </is>
      </c>
      <c r="B6" s="6">
        <f>SUMIFS(BASE_DATOS!F:F,BASE_DATOS!A:A,"Febrero",BASE_DATOS!D:D,"Servicios profesionales",BASE_DATOS!C:C,"INGRESO")</f>
        <v/>
      </c>
      <c r="C6" s="6">
        <f>SUMIFS(BASE_DATOS!F:F,BASE_DATOS!A:A,"Febrero",BASE_DATOS!D:D,"Servicios profesionales",BASE_DATOS!C:C,"EGRESO")</f>
        <v/>
      </c>
    </row>
    <row r="7">
      <c r="A7" s="2" t="inlineStr">
        <is>
          <t>Afiliados</t>
        </is>
      </c>
      <c r="B7" s="2">
        <f>SUMIFS(BASE_DATOS!F:F,BASE_DATOS!A:A,"Febrero",BASE_DATOS!D:D,"Afiliados",BASE_DATOS!C:C,"INGRESO")</f>
        <v/>
      </c>
      <c r="C7" s="2">
        <f>SUMIFS(BASE_DATOS!F:F,BASE_DATOS!A:A,"Febrero",BASE_DATOS!D:D,"Afiliados",BASE_DATOS!C:C,"EGRESO")</f>
        <v/>
      </c>
    </row>
    <row r="8">
      <c r="A8" s="6" t="inlineStr">
        <is>
          <t>Cursos digitales</t>
        </is>
      </c>
      <c r="B8" s="6">
        <f>SUMIFS(BASE_DATOS!F:F,BASE_DATOS!A:A,"Febrero",BASE_DATOS!D:D,"Cursos digitales",BASE_DATOS!C:C,"INGRESO")</f>
        <v/>
      </c>
      <c r="C8" s="6">
        <f>SUMIFS(BASE_DATOS!F:F,BASE_DATOS!A:A,"Febrero",BASE_DATOS!D:D,"Cursos digitales",BASE_DATOS!C:C,"EGRESO")</f>
        <v/>
      </c>
    </row>
    <row r="9">
      <c r="A9" s="2" t="inlineStr">
        <is>
          <t>Membresías</t>
        </is>
      </c>
      <c r="B9" s="2">
        <f>SUMIFS(BASE_DATOS!F:F,BASE_DATOS!A:A,"Febrero",BASE_DATOS!D:D,"Membresías",BASE_DATOS!C:C,"INGRESO")</f>
        <v/>
      </c>
      <c r="C9" s="2">
        <f>SUMIFS(BASE_DATOS!F:F,BASE_DATOS!A:A,"Febrero",BASE_DATOS!D:D,"Membresías",BASE_DATOS!C:C,"EGRESO")</f>
        <v/>
      </c>
    </row>
    <row r="10">
      <c r="A10" s="6" t="inlineStr">
        <is>
          <t>Ingresos varios</t>
        </is>
      </c>
      <c r="B10" s="6">
        <f>SUMIFS(BASE_DATOS!F:F,BASE_DATOS!A:A,"Febrero",BASE_DATOS!D:D,"Ingresos varios",BASE_DATOS!C:C,"INGRESO")</f>
        <v/>
      </c>
      <c r="C10" s="6">
        <f>SUMIFS(BASE_DATOS!F:F,BASE_DATOS!A:A,"Febrero",BASE_DATOS!D:D,"Ingresos varios",BASE_DATOS!C:C,"EGRESO")</f>
        <v/>
      </c>
    </row>
    <row r="11">
      <c r="A11" s="7" t="inlineStr">
        <is>
          <t>GASTOS FIJOS</t>
        </is>
      </c>
      <c r="B11" s="2" t="n"/>
      <c r="C11" s="2" t="n"/>
    </row>
    <row r="12">
      <c r="A12" s="6" t="inlineStr">
        <is>
          <t>Renta</t>
        </is>
      </c>
      <c r="B12" s="6">
        <f>SUMIFS(BASE_DATOS!F:F,BASE_DATOS!A:A,"Febrero",BASE_DATOS!D:D,"Renta",BASE_DATOS!C:C,"INGRESO")</f>
        <v/>
      </c>
      <c r="C12" s="6">
        <f>SUMIFS(BASE_DATOS!F:F,BASE_DATOS!A:A,"Febrero",BASE_DATOS!D:D,"Renta",BASE_DATOS!C:C,"EGRESO")</f>
        <v/>
      </c>
    </row>
    <row r="13">
      <c r="A13" s="2" t="inlineStr">
        <is>
          <t>Nómina</t>
        </is>
      </c>
      <c r="B13" s="2">
        <f>SUMIFS(BASE_DATOS!F:F,BASE_DATOS!A:A,"Febrero",BASE_DATOS!D:D,"Nómina",BASE_DATOS!C:C,"INGRESO")</f>
        <v/>
      </c>
      <c r="C13" s="2">
        <f>SUMIFS(BASE_DATOS!F:F,BASE_DATOS!A:A,"Febrero",BASE_DATOS!D:D,"Nómina",BASE_DATOS!C:C,"EGRESO")</f>
        <v/>
      </c>
    </row>
    <row r="14">
      <c r="A14" s="6" t="inlineStr">
        <is>
          <t>Suscripciones</t>
        </is>
      </c>
      <c r="B14" s="6">
        <f>SUMIFS(BASE_DATOS!F:F,BASE_DATOS!A:A,"Febrero",BASE_DATOS!D:D,"Suscripciones",BASE_DATOS!C:C,"INGRESO")</f>
        <v/>
      </c>
      <c r="C14" s="6">
        <f>SUMIFS(BASE_DATOS!F:F,BASE_DATOS!A:A,"Febrero",BASE_DATOS!D:D,"Suscripciones",BASE_DATOS!C:C,"EGRESO")</f>
        <v/>
      </c>
    </row>
    <row r="15">
      <c r="A15" s="2" t="inlineStr">
        <is>
          <t>Servicios (luz/agua/internet)</t>
        </is>
      </c>
      <c r="B15" s="2">
        <f>SUMIFS(BASE_DATOS!F:F,BASE_DATOS!A:A,"Febrero",BASE_DATOS!D:D,"Servicios (luz/agua/internet)",BASE_DATOS!C:C,"INGRESO")</f>
        <v/>
      </c>
      <c r="C15" s="2">
        <f>SUMIFS(BASE_DATOS!F:F,BASE_DATOS!A:A,"Febrero",BASE_DATOS!D:D,"Servicios (luz/agua/internet)",BASE_DATOS!C:C,"EGRESO")</f>
        <v/>
      </c>
    </row>
    <row r="16">
      <c r="A16" s="6" t="inlineStr">
        <is>
          <t>Contabilidad / legal</t>
        </is>
      </c>
      <c r="B16" s="6">
        <f>SUMIFS(BASE_DATOS!F:F,BASE_DATOS!A:A,"Febrero",BASE_DATOS!D:D,"Contabilidad / legal",BASE_DATOS!C:C,"INGRESO")</f>
        <v/>
      </c>
      <c r="C16" s="6">
        <f>SUMIFS(BASE_DATOS!F:F,BASE_DATOS!A:A,"Febrero",BASE_DATOS!D:D,"Contabilidad / legal",BASE_DATOS!C:C,"EGRESO")</f>
        <v/>
      </c>
    </row>
    <row r="17">
      <c r="A17" s="7" t="inlineStr">
        <is>
          <t>GASTOS VARIABLES</t>
        </is>
      </c>
      <c r="B17" s="2" t="n"/>
      <c r="C17" s="2" t="n"/>
    </row>
    <row r="18">
      <c r="A18" s="6" t="inlineStr">
        <is>
          <t>Marketing / Ads</t>
        </is>
      </c>
      <c r="B18" s="6">
        <f>SUMIFS(BASE_DATOS!F:F,BASE_DATOS!A:A,"Febrero",BASE_DATOS!D:D,"Marketing / Ads",BASE_DATOS!C:C,"INGRESO")</f>
        <v/>
      </c>
      <c r="C18" s="6">
        <f>SUMIFS(BASE_DATOS!F:F,BASE_DATOS!A:A,"Febrero",BASE_DATOS!D:D,"Marketing / Ads",BASE_DATOS!C:C,"EGRESO")</f>
        <v/>
      </c>
    </row>
    <row r="19">
      <c r="A19" s="2" t="inlineStr">
        <is>
          <t>Inventario</t>
        </is>
      </c>
      <c r="B19" s="2">
        <f>SUMIFS(BASE_DATOS!F:F,BASE_DATOS!A:A,"Febrero",BASE_DATOS!D:D,"Inventario",BASE_DATOS!C:C,"INGRESO")</f>
        <v/>
      </c>
      <c r="C19" s="2">
        <f>SUMIFS(BASE_DATOS!F:F,BASE_DATOS!A:A,"Febrero",BASE_DATOS!D:D,"Inventario",BASE_DATOS!C:C,"EGRESO")</f>
        <v/>
      </c>
    </row>
    <row r="20">
      <c r="A20" s="6" t="inlineStr">
        <is>
          <t>Envíos</t>
        </is>
      </c>
      <c r="B20" s="6">
        <f>SUMIFS(BASE_DATOS!F:F,BASE_DATOS!A:A,"Febrero",BASE_DATOS!D:D,"Envíos",BASE_DATOS!C:C,"INGRESO")</f>
        <v/>
      </c>
      <c r="C20" s="6">
        <f>SUMIFS(BASE_DATOS!F:F,BASE_DATOS!A:A,"Febrero",BASE_DATOS!D:D,"Envíos",BASE_DATOS!C:C,"EGRESO")</f>
        <v/>
      </c>
    </row>
    <row r="21">
      <c r="A21" s="2" t="inlineStr">
        <is>
          <t>Materiales</t>
        </is>
      </c>
      <c r="B21" s="2">
        <f>SUMIFS(BASE_DATOS!F:F,BASE_DATOS!A:A,"Febrero",BASE_DATOS!D:D,"Materiales",BASE_DATOS!C:C,"INGRESO")</f>
        <v/>
      </c>
      <c r="C21" s="2">
        <f>SUMIFS(BASE_DATOS!F:F,BASE_DATOS!A:A,"Febrero",BASE_DATOS!D:D,"Materiales",BASE_DATOS!C:C,"EGRESO")</f>
        <v/>
      </c>
    </row>
    <row r="22">
      <c r="A22" s="6" t="inlineStr">
        <is>
          <t>Freelancers</t>
        </is>
      </c>
      <c r="B22" s="6">
        <f>SUMIFS(BASE_DATOS!F:F,BASE_DATOS!A:A,"Febrero",BASE_DATOS!D:D,"Freelancers",BASE_DATOS!C:C,"INGRESO")</f>
        <v/>
      </c>
      <c r="C22" s="6">
        <f>SUMIFS(BASE_DATOS!F:F,BASE_DATOS!A:A,"Febrero",BASE_DATOS!D:D,"Freelancers",BASE_DATOS!C:C,"EGRESO")</f>
        <v/>
      </c>
    </row>
    <row r="23">
      <c r="A23" s="2" t="inlineStr">
        <is>
          <t>Otros gastos variables</t>
        </is>
      </c>
      <c r="B23" s="2">
        <f>SUMIFS(BASE_DATOS!F:F,BASE_DATOS!A:A,"Febrero",BASE_DATOS!D:D,"Otros gastos variables",BASE_DATOS!C:C,"INGRESO")</f>
        <v/>
      </c>
      <c r="C23" s="2">
        <f>SUMIFS(BASE_DATOS!F:F,BASE_DATOS!A:A,"Febrero",BASE_DATOS!D:D,"Otros gastos variables",BASE_DATOS!C:C,"EGRESO")</f>
        <v/>
      </c>
    </row>
    <row r="24">
      <c r="A24" s="8" t="inlineStr">
        <is>
          <t>TOTAL INGRESOS</t>
        </is>
      </c>
      <c r="B24" s="8">
        <f>SUM(B5:B23)</f>
        <v/>
      </c>
      <c r="C24" s="6" t="n"/>
    </row>
    <row r="25">
      <c r="A25" s="9" t="inlineStr">
        <is>
          <t>TOTAL EGRESOS</t>
        </is>
      </c>
      <c r="B25" s="2" t="n"/>
      <c r="C25" s="9">
        <f>SUM(C5:C23)</f>
        <v/>
      </c>
    </row>
    <row r="26">
      <c r="A26" s="8" t="inlineStr">
        <is>
          <t>FLUJO NETO DEL MES</t>
        </is>
      </c>
      <c r="B26" s="8">
        <f>B24-C25</f>
        <v/>
      </c>
      <c r="C26" s="6" t="n"/>
    </row>
    <row r="27">
      <c r="A27" s="2" t="n"/>
      <c r="B27" s="2" t="n"/>
      <c r="C27" s="2" t="n"/>
    </row>
    <row r="28">
      <c r="A28" s="6" t="inlineStr">
        <is>
          <t>SALDO INICIAL</t>
        </is>
      </c>
      <c r="B28" s="6" t="n">
        <v>0</v>
      </c>
      <c r="C28" s="6" t="n"/>
    </row>
    <row r="29">
      <c r="A29" s="2" t="inlineStr">
        <is>
          <t>SALDO FINAL</t>
        </is>
      </c>
      <c r="B29" s="9">
        <f>B28+B26</f>
        <v/>
      </c>
      <c r="C29" s="2" t="n"/>
    </row>
  </sheetData>
  <mergeCells count="4">
    <mergeCell ref="A1:D1"/>
    <mergeCell ref="A4:C4"/>
    <mergeCell ref="A11:C11"/>
    <mergeCell ref="A17:C17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9"/>
  <sheetViews>
    <sheetView workbookViewId="0">
      <selection activeCell="A1" sqref="A1"/>
    </sheetView>
  </sheetViews>
  <sheetFormatPr baseColWidth="8" defaultRowHeight="15"/>
  <cols>
    <col width="26" customWidth="1" min="1" max="1"/>
    <col width="26" customWidth="1" min="2" max="2"/>
    <col width="26" customWidth="1" min="3" max="3"/>
  </cols>
  <sheetData>
    <row r="1">
      <c r="A1" s="3" t="inlineStr">
        <is>
          <t>FLUJO DE CAJA - Marzo</t>
        </is>
      </c>
    </row>
    <row r="3">
      <c r="A3" s="4" t="inlineStr">
        <is>
          <t>CATEGORÍA</t>
        </is>
      </c>
      <c r="B3" s="4" t="inlineStr">
        <is>
          <t>INGRESOS</t>
        </is>
      </c>
      <c r="C3" s="4" t="inlineStr">
        <is>
          <t>EGRESOS</t>
        </is>
      </c>
    </row>
    <row r="4">
      <c r="A4" s="5" t="inlineStr">
        <is>
          <t>INGRESOS</t>
        </is>
      </c>
      <c r="B4" s="6" t="n"/>
      <c r="C4" s="6" t="n"/>
    </row>
    <row r="5">
      <c r="A5" s="2" t="inlineStr">
        <is>
          <t>Ventas (productos)</t>
        </is>
      </c>
      <c r="B5" s="2">
        <f>SUMIFS(BASE_DATOS!F:F,BASE_DATOS!A:A,"Marzo",BASE_DATOS!D:D,"Ventas (productos)",BASE_DATOS!C:C,"INGRESO")</f>
        <v/>
      </c>
      <c r="C5" s="2">
        <f>SUMIFS(BASE_DATOS!F:F,BASE_DATOS!A:A,"Marzo",BASE_DATOS!D:D,"Ventas (productos)",BASE_DATOS!C:C,"EGRESO")</f>
        <v/>
      </c>
    </row>
    <row r="6">
      <c r="A6" s="6" t="inlineStr">
        <is>
          <t>Servicios profesionales</t>
        </is>
      </c>
      <c r="B6" s="6">
        <f>SUMIFS(BASE_DATOS!F:F,BASE_DATOS!A:A,"Marzo",BASE_DATOS!D:D,"Servicios profesionales",BASE_DATOS!C:C,"INGRESO")</f>
        <v/>
      </c>
      <c r="C6" s="6">
        <f>SUMIFS(BASE_DATOS!F:F,BASE_DATOS!A:A,"Marzo",BASE_DATOS!D:D,"Servicios profesionales",BASE_DATOS!C:C,"EGRESO")</f>
        <v/>
      </c>
    </row>
    <row r="7">
      <c r="A7" s="2" t="inlineStr">
        <is>
          <t>Afiliados</t>
        </is>
      </c>
      <c r="B7" s="2">
        <f>SUMIFS(BASE_DATOS!F:F,BASE_DATOS!A:A,"Marzo",BASE_DATOS!D:D,"Afiliados",BASE_DATOS!C:C,"INGRESO")</f>
        <v/>
      </c>
      <c r="C7" s="2">
        <f>SUMIFS(BASE_DATOS!F:F,BASE_DATOS!A:A,"Marzo",BASE_DATOS!D:D,"Afiliados",BASE_DATOS!C:C,"EGRESO")</f>
        <v/>
      </c>
    </row>
    <row r="8">
      <c r="A8" s="6" t="inlineStr">
        <is>
          <t>Cursos digitales</t>
        </is>
      </c>
      <c r="B8" s="6">
        <f>SUMIFS(BASE_DATOS!F:F,BASE_DATOS!A:A,"Marzo",BASE_DATOS!D:D,"Cursos digitales",BASE_DATOS!C:C,"INGRESO")</f>
        <v/>
      </c>
      <c r="C8" s="6">
        <f>SUMIFS(BASE_DATOS!F:F,BASE_DATOS!A:A,"Marzo",BASE_DATOS!D:D,"Cursos digitales",BASE_DATOS!C:C,"EGRESO")</f>
        <v/>
      </c>
    </row>
    <row r="9">
      <c r="A9" s="2" t="inlineStr">
        <is>
          <t>Membresías</t>
        </is>
      </c>
      <c r="B9" s="2">
        <f>SUMIFS(BASE_DATOS!F:F,BASE_DATOS!A:A,"Marzo",BASE_DATOS!D:D,"Membresías",BASE_DATOS!C:C,"INGRESO")</f>
        <v/>
      </c>
      <c r="C9" s="2">
        <f>SUMIFS(BASE_DATOS!F:F,BASE_DATOS!A:A,"Marzo",BASE_DATOS!D:D,"Membresías",BASE_DATOS!C:C,"EGRESO")</f>
        <v/>
      </c>
    </row>
    <row r="10">
      <c r="A10" s="6" t="inlineStr">
        <is>
          <t>Ingresos varios</t>
        </is>
      </c>
      <c r="B10" s="6">
        <f>SUMIFS(BASE_DATOS!F:F,BASE_DATOS!A:A,"Marzo",BASE_DATOS!D:D,"Ingresos varios",BASE_DATOS!C:C,"INGRESO")</f>
        <v/>
      </c>
      <c r="C10" s="6">
        <f>SUMIFS(BASE_DATOS!F:F,BASE_DATOS!A:A,"Marzo",BASE_DATOS!D:D,"Ingresos varios",BASE_DATOS!C:C,"EGRESO")</f>
        <v/>
      </c>
    </row>
    <row r="11">
      <c r="A11" s="7" t="inlineStr">
        <is>
          <t>GASTOS FIJOS</t>
        </is>
      </c>
      <c r="B11" s="2" t="n"/>
      <c r="C11" s="2" t="n"/>
    </row>
    <row r="12">
      <c r="A12" s="6" t="inlineStr">
        <is>
          <t>Renta</t>
        </is>
      </c>
      <c r="B12" s="6">
        <f>SUMIFS(BASE_DATOS!F:F,BASE_DATOS!A:A,"Marzo",BASE_DATOS!D:D,"Renta",BASE_DATOS!C:C,"INGRESO")</f>
        <v/>
      </c>
      <c r="C12" s="6">
        <f>SUMIFS(BASE_DATOS!F:F,BASE_DATOS!A:A,"Marzo",BASE_DATOS!D:D,"Renta",BASE_DATOS!C:C,"EGRESO")</f>
        <v/>
      </c>
    </row>
    <row r="13">
      <c r="A13" s="2" t="inlineStr">
        <is>
          <t>Nómina</t>
        </is>
      </c>
      <c r="B13" s="2">
        <f>SUMIFS(BASE_DATOS!F:F,BASE_DATOS!A:A,"Marzo",BASE_DATOS!D:D,"Nómina",BASE_DATOS!C:C,"INGRESO")</f>
        <v/>
      </c>
      <c r="C13" s="2">
        <f>SUMIFS(BASE_DATOS!F:F,BASE_DATOS!A:A,"Marzo",BASE_DATOS!D:D,"Nómina",BASE_DATOS!C:C,"EGRESO")</f>
        <v/>
      </c>
    </row>
    <row r="14">
      <c r="A14" s="6" t="inlineStr">
        <is>
          <t>Suscripciones</t>
        </is>
      </c>
      <c r="B14" s="6">
        <f>SUMIFS(BASE_DATOS!F:F,BASE_DATOS!A:A,"Marzo",BASE_DATOS!D:D,"Suscripciones",BASE_DATOS!C:C,"INGRESO")</f>
        <v/>
      </c>
      <c r="C14" s="6">
        <f>SUMIFS(BASE_DATOS!F:F,BASE_DATOS!A:A,"Marzo",BASE_DATOS!D:D,"Suscripciones",BASE_DATOS!C:C,"EGRESO")</f>
        <v/>
      </c>
    </row>
    <row r="15">
      <c r="A15" s="2" t="inlineStr">
        <is>
          <t>Servicios (luz/agua/internet)</t>
        </is>
      </c>
      <c r="B15" s="2">
        <f>SUMIFS(BASE_DATOS!F:F,BASE_DATOS!A:A,"Marzo",BASE_DATOS!D:D,"Servicios (luz/agua/internet)",BASE_DATOS!C:C,"INGRESO")</f>
        <v/>
      </c>
      <c r="C15" s="2">
        <f>SUMIFS(BASE_DATOS!F:F,BASE_DATOS!A:A,"Marzo",BASE_DATOS!D:D,"Servicios (luz/agua/internet)",BASE_DATOS!C:C,"EGRESO")</f>
        <v/>
      </c>
    </row>
    <row r="16">
      <c r="A16" s="6" t="inlineStr">
        <is>
          <t>Contabilidad / legal</t>
        </is>
      </c>
      <c r="B16" s="6">
        <f>SUMIFS(BASE_DATOS!F:F,BASE_DATOS!A:A,"Marzo",BASE_DATOS!D:D,"Contabilidad / legal",BASE_DATOS!C:C,"INGRESO")</f>
        <v/>
      </c>
      <c r="C16" s="6">
        <f>SUMIFS(BASE_DATOS!F:F,BASE_DATOS!A:A,"Marzo",BASE_DATOS!D:D,"Contabilidad / legal",BASE_DATOS!C:C,"EGRESO")</f>
        <v/>
      </c>
    </row>
    <row r="17">
      <c r="A17" s="7" t="inlineStr">
        <is>
          <t>GASTOS VARIABLES</t>
        </is>
      </c>
      <c r="B17" s="2" t="n"/>
      <c r="C17" s="2" t="n"/>
    </row>
    <row r="18">
      <c r="A18" s="6" t="inlineStr">
        <is>
          <t>Marketing / Ads</t>
        </is>
      </c>
      <c r="B18" s="6">
        <f>SUMIFS(BASE_DATOS!F:F,BASE_DATOS!A:A,"Marzo",BASE_DATOS!D:D,"Marketing / Ads",BASE_DATOS!C:C,"INGRESO")</f>
        <v/>
      </c>
      <c r="C18" s="6">
        <f>SUMIFS(BASE_DATOS!F:F,BASE_DATOS!A:A,"Marzo",BASE_DATOS!D:D,"Marketing / Ads",BASE_DATOS!C:C,"EGRESO")</f>
        <v/>
      </c>
    </row>
    <row r="19">
      <c r="A19" s="2" t="inlineStr">
        <is>
          <t>Inventario</t>
        </is>
      </c>
      <c r="B19" s="2">
        <f>SUMIFS(BASE_DATOS!F:F,BASE_DATOS!A:A,"Marzo",BASE_DATOS!D:D,"Inventario",BASE_DATOS!C:C,"INGRESO")</f>
        <v/>
      </c>
      <c r="C19" s="2">
        <f>SUMIFS(BASE_DATOS!F:F,BASE_DATOS!A:A,"Marzo",BASE_DATOS!D:D,"Inventario",BASE_DATOS!C:C,"EGRESO")</f>
        <v/>
      </c>
    </row>
    <row r="20">
      <c r="A20" s="6" t="inlineStr">
        <is>
          <t>Envíos</t>
        </is>
      </c>
      <c r="B20" s="6">
        <f>SUMIFS(BASE_DATOS!F:F,BASE_DATOS!A:A,"Marzo",BASE_DATOS!D:D,"Envíos",BASE_DATOS!C:C,"INGRESO")</f>
        <v/>
      </c>
      <c r="C20" s="6">
        <f>SUMIFS(BASE_DATOS!F:F,BASE_DATOS!A:A,"Marzo",BASE_DATOS!D:D,"Envíos",BASE_DATOS!C:C,"EGRESO")</f>
        <v/>
      </c>
    </row>
    <row r="21">
      <c r="A21" s="2" t="inlineStr">
        <is>
          <t>Materiales</t>
        </is>
      </c>
      <c r="B21" s="2">
        <f>SUMIFS(BASE_DATOS!F:F,BASE_DATOS!A:A,"Marzo",BASE_DATOS!D:D,"Materiales",BASE_DATOS!C:C,"INGRESO")</f>
        <v/>
      </c>
      <c r="C21" s="2">
        <f>SUMIFS(BASE_DATOS!F:F,BASE_DATOS!A:A,"Marzo",BASE_DATOS!D:D,"Materiales",BASE_DATOS!C:C,"EGRESO")</f>
        <v/>
      </c>
    </row>
    <row r="22">
      <c r="A22" s="6" t="inlineStr">
        <is>
          <t>Freelancers</t>
        </is>
      </c>
      <c r="B22" s="6">
        <f>SUMIFS(BASE_DATOS!F:F,BASE_DATOS!A:A,"Marzo",BASE_DATOS!D:D,"Freelancers",BASE_DATOS!C:C,"INGRESO")</f>
        <v/>
      </c>
      <c r="C22" s="6">
        <f>SUMIFS(BASE_DATOS!F:F,BASE_DATOS!A:A,"Marzo",BASE_DATOS!D:D,"Freelancers",BASE_DATOS!C:C,"EGRESO")</f>
        <v/>
      </c>
    </row>
    <row r="23">
      <c r="A23" s="2" t="inlineStr">
        <is>
          <t>Otros gastos variables</t>
        </is>
      </c>
      <c r="B23" s="2">
        <f>SUMIFS(BASE_DATOS!F:F,BASE_DATOS!A:A,"Marzo",BASE_DATOS!D:D,"Otros gastos variables",BASE_DATOS!C:C,"INGRESO")</f>
        <v/>
      </c>
      <c r="C23" s="2">
        <f>SUMIFS(BASE_DATOS!F:F,BASE_DATOS!A:A,"Marzo",BASE_DATOS!D:D,"Otros gastos variables",BASE_DATOS!C:C,"EGRESO")</f>
        <v/>
      </c>
    </row>
    <row r="24">
      <c r="A24" s="8" t="inlineStr">
        <is>
          <t>TOTAL INGRESOS</t>
        </is>
      </c>
      <c r="B24" s="8">
        <f>SUM(B5:B23)</f>
        <v/>
      </c>
      <c r="C24" s="6" t="n"/>
    </row>
    <row r="25">
      <c r="A25" s="9" t="inlineStr">
        <is>
          <t>TOTAL EGRESOS</t>
        </is>
      </c>
      <c r="B25" s="2" t="n"/>
      <c r="C25" s="9">
        <f>SUM(C5:C23)</f>
        <v/>
      </c>
    </row>
    <row r="26">
      <c r="A26" s="8" t="inlineStr">
        <is>
          <t>FLUJO NETO DEL MES</t>
        </is>
      </c>
      <c r="B26" s="8">
        <f>B24-C25</f>
        <v/>
      </c>
      <c r="C26" s="6" t="n"/>
    </row>
    <row r="27">
      <c r="A27" s="2" t="n"/>
      <c r="B27" s="2" t="n"/>
      <c r="C27" s="2" t="n"/>
    </row>
    <row r="28">
      <c r="A28" s="6" t="inlineStr">
        <is>
          <t>SALDO INICIAL</t>
        </is>
      </c>
      <c r="B28" s="6" t="n">
        <v>0</v>
      </c>
      <c r="C28" s="6" t="n"/>
    </row>
    <row r="29">
      <c r="A29" s="2" t="inlineStr">
        <is>
          <t>SALDO FINAL</t>
        </is>
      </c>
      <c r="B29" s="9">
        <f>B28+B26</f>
        <v/>
      </c>
      <c r="C29" s="2" t="n"/>
    </row>
  </sheetData>
  <mergeCells count="4">
    <mergeCell ref="A1:D1"/>
    <mergeCell ref="A4:C4"/>
    <mergeCell ref="A11:C11"/>
    <mergeCell ref="A17:C17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29"/>
  <sheetViews>
    <sheetView workbookViewId="0">
      <selection activeCell="A1" sqref="A1"/>
    </sheetView>
  </sheetViews>
  <sheetFormatPr baseColWidth="8" defaultRowHeight="15"/>
  <cols>
    <col width="26" customWidth="1" min="1" max="1"/>
    <col width="26" customWidth="1" min="2" max="2"/>
    <col width="26" customWidth="1" min="3" max="3"/>
  </cols>
  <sheetData>
    <row r="1">
      <c r="A1" s="3" t="inlineStr">
        <is>
          <t>FLUJO DE CAJA - Abril</t>
        </is>
      </c>
    </row>
    <row r="3">
      <c r="A3" s="4" t="inlineStr">
        <is>
          <t>CATEGORÍA</t>
        </is>
      </c>
      <c r="B3" s="4" t="inlineStr">
        <is>
          <t>INGRESOS</t>
        </is>
      </c>
      <c r="C3" s="4" t="inlineStr">
        <is>
          <t>EGRESOS</t>
        </is>
      </c>
    </row>
    <row r="4">
      <c r="A4" s="5" t="inlineStr">
        <is>
          <t>INGRESOS</t>
        </is>
      </c>
      <c r="B4" s="6" t="n"/>
      <c r="C4" s="6" t="n"/>
    </row>
    <row r="5">
      <c r="A5" s="2" t="inlineStr">
        <is>
          <t>Ventas (productos)</t>
        </is>
      </c>
      <c r="B5" s="2">
        <f>SUMIFS(BASE_DATOS!F:F,BASE_DATOS!A:A,"Abril",BASE_DATOS!D:D,"Ventas (productos)",BASE_DATOS!C:C,"INGRESO")</f>
        <v/>
      </c>
      <c r="C5" s="2">
        <f>SUMIFS(BASE_DATOS!F:F,BASE_DATOS!A:A,"Abril",BASE_DATOS!D:D,"Ventas (productos)",BASE_DATOS!C:C,"EGRESO")</f>
        <v/>
      </c>
    </row>
    <row r="6">
      <c r="A6" s="6" t="inlineStr">
        <is>
          <t>Servicios profesionales</t>
        </is>
      </c>
      <c r="B6" s="6">
        <f>SUMIFS(BASE_DATOS!F:F,BASE_DATOS!A:A,"Abril",BASE_DATOS!D:D,"Servicios profesionales",BASE_DATOS!C:C,"INGRESO")</f>
        <v/>
      </c>
      <c r="C6" s="6">
        <f>SUMIFS(BASE_DATOS!F:F,BASE_DATOS!A:A,"Abril",BASE_DATOS!D:D,"Servicios profesionales",BASE_DATOS!C:C,"EGRESO")</f>
        <v/>
      </c>
    </row>
    <row r="7">
      <c r="A7" s="2" t="inlineStr">
        <is>
          <t>Afiliados</t>
        </is>
      </c>
      <c r="B7" s="2">
        <f>SUMIFS(BASE_DATOS!F:F,BASE_DATOS!A:A,"Abril",BASE_DATOS!D:D,"Afiliados",BASE_DATOS!C:C,"INGRESO")</f>
        <v/>
      </c>
      <c r="C7" s="2">
        <f>SUMIFS(BASE_DATOS!F:F,BASE_DATOS!A:A,"Abril",BASE_DATOS!D:D,"Afiliados",BASE_DATOS!C:C,"EGRESO")</f>
        <v/>
      </c>
    </row>
    <row r="8">
      <c r="A8" s="6" t="inlineStr">
        <is>
          <t>Cursos digitales</t>
        </is>
      </c>
      <c r="B8" s="6">
        <f>SUMIFS(BASE_DATOS!F:F,BASE_DATOS!A:A,"Abril",BASE_DATOS!D:D,"Cursos digitales",BASE_DATOS!C:C,"INGRESO")</f>
        <v/>
      </c>
      <c r="C8" s="6">
        <f>SUMIFS(BASE_DATOS!F:F,BASE_DATOS!A:A,"Abril",BASE_DATOS!D:D,"Cursos digitales",BASE_DATOS!C:C,"EGRESO")</f>
        <v/>
      </c>
    </row>
    <row r="9">
      <c r="A9" s="2" t="inlineStr">
        <is>
          <t>Membresías</t>
        </is>
      </c>
      <c r="B9" s="2">
        <f>SUMIFS(BASE_DATOS!F:F,BASE_DATOS!A:A,"Abril",BASE_DATOS!D:D,"Membresías",BASE_DATOS!C:C,"INGRESO")</f>
        <v/>
      </c>
      <c r="C9" s="2">
        <f>SUMIFS(BASE_DATOS!F:F,BASE_DATOS!A:A,"Abril",BASE_DATOS!D:D,"Membresías",BASE_DATOS!C:C,"EGRESO")</f>
        <v/>
      </c>
    </row>
    <row r="10">
      <c r="A10" s="6" t="inlineStr">
        <is>
          <t>Ingresos varios</t>
        </is>
      </c>
      <c r="B10" s="6">
        <f>SUMIFS(BASE_DATOS!F:F,BASE_DATOS!A:A,"Abril",BASE_DATOS!D:D,"Ingresos varios",BASE_DATOS!C:C,"INGRESO")</f>
        <v/>
      </c>
      <c r="C10" s="6">
        <f>SUMIFS(BASE_DATOS!F:F,BASE_DATOS!A:A,"Abril",BASE_DATOS!D:D,"Ingresos varios",BASE_DATOS!C:C,"EGRESO")</f>
        <v/>
      </c>
    </row>
    <row r="11">
      <c r="A11" s="7" t="inlineStr">
        <is>
          <t>GASTOS FIJOS</t>
        </is>
      </c>
      <c r="B11" s="2" t="n"/>
      <c r="C11" s="2" t="n"/>
    </row>
    <row r="12">
      <c r="A12" s="6" t="inlineStr">
        <is>
          <t>Renta</t>
        </is>
      </c>
      <c r="B12" s="6">
        <f>SUMIFS(BASE_DATOS!F:F,BASE_DATOS!A:A,"Abril",BASE_DATOS!D:D,"Renta",BASE_DATOS!C:C,"INGRESO")</f>
        <v/>
      </c>
      <c r="C12" s="6">
        <f>SUMIFS(BASE_DATOS!F:F,BASE_DATOS!A:A,"Abril",BASE_DATOS!D:D,"Renta",BASE_DATOS!C:C,"EGRESO")</f>
        <v/>
      </c>
    </row>
    <row r="13">
      <c r="A13" s="2" t="inlineStr">
        <is>
          <t>Nómina</t>
        </is>
      </c>
      <c r="B13" s="2">
        <f>SUMIFS(BASE_DATOS!F:F,BASE_DATOS!A:A,"Abril",BASE_DATOS!D:D,"Nómina",BASE_DATOS!C:C,"INGRESO")</f>
        <v/>
      </c>
      <c r="C13" s="2">
        <f>SUMIFS(BASE_DATOS!F:F,BASE_DATOS!A:A,"Abril",BASE_DATOS!D:D,"Nómina",BASE_DATOS!C:C,"EGRESO")</f>
        <v/>
      </c>
    </row>
    <row r="14">
      <c r="A14" s="6" t="inlineStr">
        <is>
          <t>Suscripciones</t>
        </is>
      </c>
      <c r="B14" s="6">
        <f>SUMIFS(BASE_DATOS!F:F,BASE_DATOS!A:A,"Abril",BASE_DATOS!D:D,"Suscripciones",BASE_DATOS!C:C,"INGRESO")</f>
        <v/>
      </c>
      <c r="C14" s="6">
        <f>SUMIFS(BASE_DATOS!F:F,BASE_DATOS!A:A,"Abril",BASE_DATOS!D:D,"Suscripciones",BASE_DATOS!C:C,"EGRESO")</f>
        <v/>
      </c>
    </row>
    <row r="15">
      <c r="A15" s="2" t="inlineStr">
        <is>
          <t>Servicios (luz/agua/internet)</t>
        </is>
      </c>
      <c r="B15" s="2">
        <f>SUMIFS(BASE_DATOS!F:F,BASE_DATOS!A:A,"Abril",BASE_DATOS!D:D,"Servicios (luz/agua/internet)",BASE_DATOS!C:C,"INGRESO")</f>
        <v/>
      </c>
      <c r="C15" s="2">
        <f>SUMIFS(BASE_DATOS!F:F,BASE_DATOS!A:A,"Abril",BASE_DATOS!D:D,"Servicios (luz/agua/internet)",BASE_DATOS!C:C,"EGRESO")</f>
        <v/>
      </c>
    </row>
    <row r="16">
      <c r="A16" s="6" t="inlineStr">
        <is>
          <t>Contabilidad / legal</t>
        </is>
      </c>
      <c r="B16" s="6">
        <f>SUMIFS(BASE_DATOS!F:F,BASE_DATOS!A:A,"Abril",BASE_DATOS!D:D,"Contabilidad / legal",BASE_DATOS!C:C,"INGRESO")</f>
        <v/>
      </c>
      <c r="C16" s="6">
        <f>SUMIFS(BASE_DATOS!F:F,BASE_DATOS!A:A,"Abril",BASE_DATOS!D:D,"Contabilidad / legal",BASE_DATOS!C:C,"EGRESO")</f>
        <v/>
      </c>
    </row>
    <row r="17">
      <c r="A17" s="7" t="inlineStr">
        <is>
          <t>GASTOS VARIABLES</t>
        </is>
      </c>
      <c r="B17" s="2" t="n"/>
      <c r="C17" s="2" t="n"/>
    </row>
    <row r="18">
      <c r="A18" s="6" t="inlineStr">
        <is>
          <t>Marketing / Ads</t>
        </is>
      </c>
      <c r="B18" s="6">
        <f>SUMIFS(BASE_DATOS!F:F,BASE_DATOS!A:A,"Abril",BASE_DATOS!D:D,"Marketing / Ads",BASE_DATOS!C:C,"INGRESO")</f>
        <v/>
      </c>
      <c r="C18" s="6">
        <f>SUMIFS(BASE_DATOS!F:F,BASE_DATOS!A:A,"Abril",BASE_DATOS!D:D,"Marketing / Ads",BASE_DATOS!C:C,"EGRESO")</f>
        <v/>
      </c>
    </row>
    <row r="19">
      <c r="A19" s="2" t="inlineStr">
        <is>
          <t>Inventario</t>
        </is>
      </c>
      <c r="B19" s="2">
        <f>SUMIFS(BASE_DATOS!F:F,BASE_DATOS!A:A,"Abril",BASE_DATOS!D:D,"Inventario",BASE_DATOS!C:C,"INGRESO")</f>
        <v/>
      </c>
      <c r="C19" s="2">
        <f>SUMIFS(BASE_DATOS!F:F,BASE_DATOS!A:A,"Abril",BASE_DATOS!D:D,"Inventario",BASE_DATOS!C:C,"EGRESO")</f>
        <v/>
      </c>
    </row>
    <row r="20">
      <c r="A20" s="6" t="inlineStr">
        <is>
          <t>Envíos</t>
        </is>
      </c>
      <c r="B20" s="6">
        <f>SUMIFS(BASE_DATOS!F:F,BASE_DATOS!A:A,"Abril",BASE_DATOS!D:D,"Envíos",BASE_DATOS!C:C,"INGRESO")</f>
        <v/>
      </c>
      <c r="C20" s="6">
        <f>SUMIFS(BASE_DATOS!F:F,BASE_DATOS!A:A,"Abril",BASE_DATOS!D:D,"Envíos",BASE_DATOS!C:C,"EGRESO")</f>
        <v/>
      </c>
    </row>
    <row r="21">
      <c r="A21" s="2" t="inlineStr">
        <is>
          <t>Materiales</t>
        </is>
      </c>
      <c r="B21" s="2">
        <f>SUMIFS(BASE_DATOS!F:F,BASE_DATOS!A:A,"Abril",BASE_DATOS!D:D,"Materiales",BASE_DATOS!C:C,"INGRESO")</f>
        <v/>
      </c>
      <c r="C21" s="2">
        <f>SUMIFS(BASE_DATOS!F:F,BASE_DATOS!A:A,"Abril",BASE_DATOS!D:D,"Materiales",BASE_DATOS!C:C,"EGRESO")</f>
        <v/>
      </c>
    </row>
    <row r="22">
      <c r="A22" s="6" t="inlineStr">
        <is>
          <t>Freelancers</t>
        </is>
      </c>
      <c r="B22" s="6">
        <f>SUMIFS(BASE_DATOS!F:F,BASE_DATOS!A:A,"Abril",BASE_DATOS!D:D,"Freelancers",BASE_DATOS!C:C,"INGRESO")</f>
        <v/>
      </c>
      <c r="C22" s="6">
        <f>SUMIFS(BASE_DATOS!F:F,BASE_DATOS!A:A,"Abril",BASE_DATOS!D:D,"Freelancers",BASE_DATOS!C:C,"EGRESO")</f>
        <v/>
      </c>
    </row>
    <row r="23">
      <c r="A23" s="2" t="inlineStr">
        <is>
          <t>Otros gastos variables</t>
        </is>
      </c>
      <c r="B23" s="2">
        <f>SUMIFS(BASE_DATOS!F:F,BASE_DATOS!A:A,"Abril",BASE_DATOS!D:D,"Otros gastos variables",BASE_DATOS!C:C,"INGRESO")</f>
        <v/>
      </c>
      <c r="C23" s="2">
        <f>SUMIFS(BASE_DATOS!F:F,BASE_DATOS!A:A,"Abril",BASE_DATOS!D:D,"Otros gastos variables",BASE_DATOS!C:C,"EGRESO")</f>
        <v/>
      </c>
    </row>
    <row r="24">
      <c r="A24" s="8" t="inlineStr">
        <is>
          <t>TOTAL INGRESOS</t>
        </is>
      </c>
      <c r="B24" s="8">
        <f>SUM(B5:B23)</f>
        <v/>
      </c>
      <c r="C24" s="6" t="n"/>
    </row>
    <row r="25">
      <c r="A25" s="9" t="inlineStr">
        <is>
          <t>TOTAL EGRESOS</t>
        </is>
      </c>
      <c r="B25" s="2" t="n"/>
      <c r="C25" s="9">
        <f>SUM(C5:C23)</f>
        <v/>
      </c>
    </row>
    <row r="26">
      <c r="A26" s="8" t="inlineStr">
        <is>
          <t>FLUJO NETO DEL MES</t>
        </is>
      </c>
      <c r="B26" s="8">
        <f>B24-C25</f>
        <v/>
      </c>
      <c r="C26" s="6" t="n"/>
    </row>
    <row r="27">
      <c r="A27" s="2" t="n"/>
      <c r="B27" s="2" t="n"/>
      <c r="C27" s="2" t="n"/>
    </row>
    <row r="28">
      <c r="A28" s="6" t="inlineStr">
        <is>
          <t>SALDO INICIAL</t>
        </is>
      </c>
      <c r="B28" s="6" t="n">
        <v>0</v>
      </c>
      <c r="C28" s="6" t="n"/>
    </row>
    <row r="29">
      <c r="A29" s="2" t="inlineStr">
        <is>
          <t>SALDO FINAL</t>
        </is>
      </c>
      <c r="B29" s="9">
        <f>B28+B26</f>
        <v/>
      </c>
      <c r="C29" s="2" t="n"/>
    </row>
  </sheetData>
  <mergeCells count="4">
    <mergeCell ref="A1:D1"/>
    <mergeCell ref="A4:C4"/>
    <mergeCell ref="A11:C11"/>
    <mergeCell ref="A17:C17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29"/>
  <sheetViews>
    <sheetView workbookViewId="0">
      <selection activeCell="A1" sqref="A1"/>
    </sheetView>
  </sheetViews>
  <sheetFormatPr baseColWidth="8" defaultRowHeight="15"/>
  <cols>
    <col width="26" customWidth="1" min="1" max="1"/>
    <col width="26" customWidth="1" min="2" max="2"/>
    <col width="26" customWidth="1" min="3" max="3"/>
  </cols>
  <sheetData>
    <row r="1">
      <c r="A1" s="3" t="inlineStr">
        <is>
          <t>FLUJO DE CAJA - Mayo</t>
        </is>
      </c>
    </row>
    <row r="3">
      <c r="A3" s="4" t="inlineStr">
        <is>
          <t>CATEGORÍA</t>
        </is>
      </c>
      <c r="B3" s="4" t="inlineStr">
        <is>
          <t>INGRESOS</t>
        </is>
      </c>
      <c r="C3" s="4" t="inlineStr">
        <is>
          <t>EGRESOS</t>
        </is>
      </c>
    </row>
    <row r="4">
      <c r="A4" s="5" t="inlineStr">
        <is>
          <t>INGRESOS</t>
        </is>
      </c>
      <c r="B4" s="6" t="n"/>
      <c r="C4" s="6" t="n"/>
    </row>
    <row r="5">
      <c r="A5" s="2" t="inlineStr">
        <is>
          <t>Ventas (productos)</t>
        </is>
      </c>
      <c r="B5" s="2">
        <f>SUMIFS(BASE_DATOS!F:F,BASE_DATOS!A:A,"Mayo",BASE_DATOS!D:D,"Ventas (productos)",BASE_DATOS!C:C,"INGRESO")</f>
        <v/>
      </c>
      <c r="C5" s="2">
        <f>SUMIFS(BASE_DATOS!F:F,BASE_DATOS!A:A,"Mayo",BASE_DATOS!D:D,"Ventas (productos)",BASE_DATOS!C:C,"EGRESO")</f>
        <v/>
      </c>
    </row>
    <row r="6">
      <c r="A6" s="6" t="inlineStr">
        <is>
          <t>Servicios profesionales</t>
        </is>
      </c>
      <c r="B6" s="6">
        <f>SUMIFS(BASE_DATOS!F:F,BASE_DATOS!A:A,"Mayo",BASE_DATOS!D:D,"Servicios profesionales",BASE_DATOS!C:C,"INGRESO")</f>
        <v/>
      </c>
      <c r="C6" s="6">
        <f>SUMIFS(BASE_DATOS!F:F,BASE_DATOS!A:A,"Mayo",BASE_DATOS!D:D,"Servicios profesionales",BASE_DATOS!C:C,"EGRESO")</f>
        <v/>
      </c>
    </row>
    <row r="7">
      <c r="A7" s="2" t="inlineStr">
        <is>
          <t>Afiliados</t>
        </is>
      </c>
      <c r="B7" s="2">
        <f>SUMIFS(BASE_DATOS!F:F,BASE_DATOS!A:A,"Mayo",BASE_DATOS!D:D,"Afiliados",BASE_DATOS!C:C,"INGRESO")</f>
        <v/>
      </c>
      <c r="C7" s="2">
        <f>SUMIFS(BASE_DATOS!F:F,BASE_DATOS!A:A,"Mayo",BASE_DATOS!D:D,"Afiliados",BASE_DATOS!C:C,"EGRESO")</f>
        <v/>
      </c>
    </row>
    <row r="8">
      <c r="A8" s="6" t="inlineStr">
        <is>
          <t>Cursos digitales</t>
        </is>
      </c>
      <c r="B8" s="6">
        <f>SUMIFS(BASE_DATOS!F:F,BASE_DATOS!A:A,"Mayo",BASE_DATOS!D:D,"Cursos digitales",BASE_DATOS!C:C,"INGRESO")</f>
        <v/>
      </c>
      <c r="C8" s="6">
        <f>SUMIFS(BASE_DATOS!F:F,BASE_DATOS!A:A,"Mayo",BASE_DATOS!D:D,"Cursos digitales",BASE_DATOS!C:C,"EGRESO")</f>
        <v/>
      </c>
    </row>
    <row r="9">
      <c r="A9" s="2" t="inlineStr">
        <is>
          <t>Membresías</t>
        </is>
      </c>
      <c r="B9" s="2">
        <f>SUMIFS(BASE_DATOS!F:F,BASE_DATOS!A:A,"Mayo",BASE_DATOS!D:D,"Membresías",BASE_DATOS!C:C,"INGRESO")</f>
        <v/>
      </c>
      <c r="C9" s="2">
        <f>SUMIFS(BASE_DATOS!F:F,BASE_DATOS!A:A,"Mayo",BASE_DATOS!D:D,"Membresías",BASE_DATOS!C:C,"EGRESO")</f>
        <v/>
      </c>
    </row>
    <row r="10">
      <c r="A10" s="6" t="inlineStr">
        <is>
          <t>Ingresos varios</t>
        </is>
      </c>
      <c r="B10" s="6">
        <f>SUMIFS(BASE_DATOS!F:F,BASE_DATOS!A:A,"Mayo",BASE_DATOS!D:D,"Ingresos varios",BASE_DATOS!C:C,"INGRESO")</f>
        <v/>
      </c>
      <c r="C10" s="6">
        <f>SUMIFS(BASE_DATOS!F:F,BASE_DATOS!A:A,"Mayo",BASE_DATOS!D:D,"Ingresos varios",BASE_DATOS!C:C,"EGRESO")</f>
        <v/>
      </c>
    </row>
    <row r="11">
      <c r="A11" s="7" t="inlineStr">
        <is>
          <t>GASTOS FIJOS</t>
        </is>
      </c>
      <c r="B11" s="2" t="n"/>
      <c r="C11" s="2" t="n"/>
    </row>
    <row r="12">
      <c r="A12" s="6" t="inlineStr">
        <is>
          <t>Renta</t>
        </is>
      </c>
      <c r="B12" s="6">
        <f>SUMIFS(BASE_DATOS!F:F,BASE_DATOS!A:A,"Mayo",BASE_DATOS!D:D,"Renta",BASE_DATOS!C:C,"INGRESO")</f>
        <v/>
      </c>
      <c r="C12" s="6">
        <f>SUMIFS(BASE_DATOS!F:F,BASE_DATOS!A:A,"Mayo",BASE_DATOS!D:D,"Renta",BASE_DATOS!C:C,"EGRESO")</f>
        <v/>
      </c>
    </row>
    <row r="13">
      <c r="A13" s="2" t="inlineStr">
        <is>
          <t>Nómina</t>
        </is>
      </c>
      <c r="B13" s="2">
        <f>SUMIFS(BASE_DATOS!F:F,BASE_DATOS!A:A,"Mayo",BASE_DATOS!D:D,"Nómina",BASE_DATOS!C:C,"INGRESO")</f>
        <v/>
      </c>
      <c r="C13" s="2">
        <f>SUMIFS(BASE_DATOS!F:F,BASE_DATOS!A:A,"Mayo",BASE_DATOS!D:D,"Nómina",BASE_DATOS!C:C,"EGRESO")</f>
        <v/>
      </c>
    </row>
    <row r="14">
      <c r="A14" s="6" t="inlineStr">
        <is>
          <t>Suscripciones</t>
        </is>
      </c>
      <c r="B14" s="6">
        <f>SUMIFS(BASE_DATOS!F:F,BASE_DATOS!A:A,"Mayo",BASE_DATOS!D:D,"Suscripciones",BASE_DATOS!C:C,"INGRESO")</f>
        <v/>
      </c>
      <c r="C14" s="6">
        <f>SUMIFS(BASE_DATOS!F:F,BASE_DATOS!A:A,"Mayo",BASE_DATOS!D:D,"Suscripciones",BASE_DATOS!C:C,"EGRESO")</f>
        <v/>
      </c>
    </row>
    <row r="15">
      <c r="A15" s="2" t="inlineStr">
        <is>
          <t>Servicios (luz/agua/internet)</t>
        </is>
      </c>
      <c r="B15" s="2">
        <f>SUMIFS(BASE_DATOS!F:F,BASE_DATOS!A:A,"Mayo",BASE_DATOS!D:D,"Servicios (luz/agua/internet)",BASE_DATOS!C:C,"INGRESO")</f>
        <v/>
      </c>
      <c r="C15" s="2">
        <f>SUMIFS(BASE_DATOS!F:F,BASE_DATOS!A:A,"Mayo",BASE_DATOS!D:D,"Servicios (luz/agua/internet)",BASE_DATOS!C:C,"EGRESO")</f>
        <v/>
      </c>
    </row>
    <row r="16">
      <c r="A16" s="6" t="inlineStr">
        <is>
          <t>Contabilidad / legal</t>
        </is>
      </c>
      <c r="B16" s="6">
        <f>SUMIFS(BASE_DATOS!F:F,BASE_DATOS!A:A,"Mayo",BASE_DATOS!D:D,"Contabilidad / legal",BASE_DATOS!C:C,"INGRESO")</f>
        <v/>
      </c>
      <c r="C16" s="6">
        <f>SUMIFS(BASE_DATOS!F:F,BASE_DATOS!A:A,"Mayo",BASE_DATOS!D:D,"Contabilidad / legal",BASE_DATOS!C:C,"EGRESO")</f>
        <v/>
      </c>
    </row>
    <row r="17">
      <c r="A17" s="7" t="inlineStr">
        <is>
          <t>GASTOS VARIABLES</t>
        </is>
      </c>
      <c r="B17" s="2" t="n"/>
      <c r="C17" s="2" t="n"/>
    </row>
    <row r="18">
      <c r="A18" s="6" t="inlineStr">
        <is>
          <t>Marketing / Ads</t>
        </is>
      </c>
      <c r="B18" s="6">
        <f>SUMIFS(BASE_DATOS!F:F,BASE_DATOS!A:A,"Mayo",BASE_DATOS!D:D,"Marketing / Ads",BASE_DATOS!C:C,"INGRESO")</f>
        <v/>
      </c>
      <c r="C18" s="6">
        <f>SUMIFS(BASE_DATOS!F:F,BASE_DATOS!A:A,"Mayo",BASE_DATOS!D:D,"Marketing / Ads",BASE_DATOS!C:C,"EGRESO")</f>
        <v/>
      </c>
    </row>
    <row r="19">
      <c r="A19" s="2" t="inlineStr">
        <is>
          <t>Inventario</t>
        </is>
      </c>
      <c r="B19" s="2">
        <f>SUMIFS(BASE_DATOS!F:F,BASE_DATOS!A:A,"Mayo",BASE_DATOS!D:D,"Inventario",BASE_DATOS!C:C,"INGRESO")</f>
        <v/>
      </c>
      <c r="C19" s="2">
        <f>SUMIFS(BASE_DATOS!F:F,BASE_DATOS!A:A,"Mayo",BASE_DATOS!D:D,"Inventario",BASE_DATOS!C:C,"EGRESO")</f>
        <v/>
      </c>
    </row>
    <row r="20">
      <c r="A20" s="6" t="inlineStr">
        <is>
          <t>Envíos</t>
        </is>
      </c>
      <c r="B20" s="6">
        <f>SUMIFS(BASE_DATOS!F:F,BASE_DATOS!A:A,"Mayo",BASE_DATOS!D:D,"Envíos",BASE_DATOS!C:C,"INGRESO")</f>
        <v/>
      </c>
      <c r="C20" s="6">
        <f>SUMIFS(BASE_DATOS!F:F,BASE_DATOS!A:A,"Mayo",BASE_DATOS!D:D,"Envíos",BASE_DATOS!C:C,"EGRESO")</f>
        <v/>
      </c>
    </row>
    <row r="21">
      <c r="A21" s="2" t="inlineStr">
        <is>
          <t>Materiales</t>
        </is>
      </c>
      <c r="B21" s="2">
        <f>SUMIFS(BASE_DATOS!F:F,BASE_DATOS!A:A,"Mayo",BASE_DATOS!D:D,"Materiales",BASE_DATOS!C:C,"INGRESO")</f>
        <v/>
      </c>
      <c r="C21" s="2">
        <f>SUMIFS(BASE_DATOS!F:F,BASE_DATOS!A:A,"Mayo",BASE_DATOS!D:D,"Materiales",BASE_DATOS!C:C,"EGRESO")</f>
        <v/>
      </c>
    </row>
    <row r="22">
      <c r="A22" s="6" t="inlineStr">
        <is>
          <t>Freelancers</t>
        </is>
      </c>
      <c r="B22" s="6">
        <f>SUMIFS(BASE_DATOS!F:F,BASE_DATOS!A:A,"Mayo",BASE_DATOS!D:D,"Freelancers",BASE_DATOS!C:C,"INGRESO")</f>
        <v/>
      </c>
      <c r="C22" s="6">
        <f>SUMIFS(BASE_DATOS!F:F,BASE_DATOS!A:A,"Mayo",BASE_DATOS!D:D,"Freelancers",BASE_DATOS!C:C,"EGRESO")</f>
        <v/>
      </c>
    </row>
    <row r="23">
      <c r="A23" s="2" t="inlineStr">
        <is>
          <t>Otros gastos variables</t>
        </is>
      </c>
      <c r="B23" s="2">
        <f>SUMIFS(BASE_DATOS!F:F,BASE_DATOS!A:A,"Mayo",BASE_DATOS!D:D,"Otros gastos variables",BASE_DATOS!C:C,"INGRESO")</f>
        <v/>
      </c>
      <c r="C23" s="2">
        <f>SUMIFS(BASE_DATOS!F:F,BASE_DATOS!A:A,"Mayo",BASE_DATOS!D:D,"Otros gastos variables",BASE_DATOS!C:C,"EGRESO")</f>
        <v/>
      </c>
    </row>
    <row r="24">
      <c r="A24" s="8" t="inlineStr">
        <is>
          <t>TOTAL INGRESOS</t>
        </is>
      </c>
      <c r="B24" s="8">
        <f>SUM(B5:B23)</f>
        <v/>
      </c>
      <c r="C24" s="6" t="n"/>
    </row>
    <row r="25">
      <c r="A25" s="9" t="inlineStr">
        <is>
          <t>TOTAL EGRESOS</t>
        </is>
      </c>
      <c r="B25" s="2" t="n"/>
      <c r="C25" s="9">
        <f>SUM(C5:C23)</f>
        <v/>
      </c>
    </row>
    <row r="26">
      <c r="A26" s="8" t="inlineStr">
        <is>
          <t>FLUJO NETO DEL MES</t>
        </is>
      </c>
      <c r="B26" s="8">
        <f>B24-C25</f>
        <v/>
      </c>
      <c r="C26" s="6" t="n"/>
    </row>
    <row r="27">
      <c r="A27" s="2" t="n"/>
      <c r="B27" s="2" t="n"/>
      <c r="C27" s="2" t="n"/>
    </row>
    <row r="28">
      <c r="A28" s="6" t="inlineStr">
        <is>
          <t>SALDO INICIAL</t>
        </is>
      </c>
      <c r="B28" s="6" t="n">
        <v>0</v>
      </c>
      <c r="C28" s="6" t="n"/>
    </row>
    <row r="29">
      <c r="A29" s="2" t="inlineStr">
        <is>
          <t>SALDO FINAL</t>
        </is>
      </c>
      <c r="B29" s="9">
        <f>B28+B26</f>
        <v/>
      </c>
      <c r="C29" s="2" t="n"/>
    </row>
  </sheetData>
  <mergeCells count="4">
    <mergeCell ref="A1:D1"/>
    <mergeCell ref="A4:C4"/>
    <mergeCell ref="A11:C11"/>
    <mergeCell ref="A17:C17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29"/>
  <sheetViews>
    <sheetView workbookViewId="0">
      <selection activeCell="A1" sqref="A1"/>
    </sheetView>
  </sheetViews>
  <sheetFormatPr baseColWidth="8" defaultRowHeight="15"/>
  <cols>
    <col width="26" customWidth="1" min="1" max="1"/>
    <col width="26" customWidth="1" min="2" max="2"/>
    <col width="26" customWidth="1" min="3" max="3"/>
  </cols>
  <sheetData>
    <row r="1">
      <c r="A1" s="3" t="inlineStr">
        <is>
          <t>FLUJO DE CAJA - Junio</t>
        </is>
      </c>
    </row>
    <row r="3">
      <c r="A3" s="4" t="inlineStr">
        <is>
          <t>CATEGORÍA</t>
        </is>
      </c>
      <c r="B3" s="4" t="inlineStr">
        <is>
          <t>INGRESOS</t>
        </is>
      </c>
      <c r="C3" s="4" t="inlineStr">
        <is>
          <t>EGRESOS</t>
        </is>
      </c>
    </row>
    <row r="4">
      <c r="A4" s="5" t="inlineStr">
        <is>
          <t>INGRESOS</t>
        </is>
      </c>
      <c r="B4" s="6" t="n"/>
      <c r="C4" s="6" t="n"/>
    </row>
    <row r="5">
      <c r="A5" s="2" t="inlineStr">
        <is>
          <t>Ventas (productos)</t>
        </is>
      </c>
      <c r="B5" s="2">
        <f>SUMIFS(BASE_DATOS!F:F,BASE_DATOS!A:A,"Junio",BASE_DATOS!D:D,"Ventas (productos)",BASE_DATOS!C:C,"INGRESO")</f>
        <v/>
      </c>
      <c r="C5" s="2">
        <f>SUMIFS(BASE_DATOS!F:F,BASE_DATOS!A:A,"Junio",BASE_DATOS!D:D,"Ventas (productos)",BASE_DATOS!C:C,"EGRESO")</f>
        <v/>
      </c>
    </row>
    <row r="6">
      <c r="A6" s="6" t="inlineStr">
        <is>
          <t>Servicios profesionales</t>
        </is>
      </c>
      <c r="B6" s="6">
        <f>SUMIFS(BASE_DATOS!F:F,BASE_DATOS!A:A,"Junio",BASE_DATOS!D:D,"Servicios profesionales",BASE_DATOS!C:C,"INGRESO")</f>
        <v/>
      </c>
      <c r="C6" s="6">
        <f>SUMIFS(BASE_DATOS!F:F,BASE_DATOS!A:A,"Junio",BASE_DATOS!D:D,"Servicios profesionales",BASE_DATOS!C:C,"EGRESO")</f>
        <v/>
      </c>
    </row>
    <row r="7">
      <c r="A7" s="2" t="inlineStr">
        <is>
          <t>Afiliados</t>
        </is>
      </c>
      <c r="B7" s="2">
        <f>SUMIFS(BASE_DATOS!F:F,BASE_DATOS!A:A,"Junio",BASE_DATOS!D:D,"Afiliados",BASE_DATOS!C:C,"INGRESO")</f>
        <v/>
      </c>
      <c r="C7" s="2">
        <f>SUMIFS(BASE_DATOS!F:F,BASE_DATOS!A:A,"Junio",BASE_DATOS!D:D,"Afiliados",BASE_DATOS!C:C,"EGRESO")</f>
        <v/>
      </c>
    </row>
    <row r="8">
      <c r="A8" s="6" t="inlineStr">
        <is>
          <t>Cursos digitales</t>
        </is>
      </c>
      <c r="B8" s="6">
        <f>SUMIFS(BASE_DATOS!F:F,BASE_DATOS!A:A,"Junio",BASE_DATOS!D:D,"Cursos digitales",BASE_DATOS!C:C,"INGRESO")</f>
        <v/>
      </c>
      <c r="C8" s="6">
        <f>SUMIFS(BASE_DATOS!F:F,BASE_DATOS!A:A,"Junio",BASE_DATOS!D:D,"Cursos digitales",BASE_DATOS!C:C,"EGRESO")</f>
        <v/>
      </c>
    </row>
    <row r="9">
      <c r="A9" s="2" t="inlineStr">
        <is>
          <t>Membresías</t>
        </is>
      </c>
      <c r="B9" s="2">
        <f>SUMIFS(BASE_DATOS!F:F,BASE_DATOS!A:A,"Junio",BASE_DATOS!D:D,"Membresías",BASE_DATOS!C:C,"INGRESO")</f>
        <v/>
      </c>
      <c r="C9" s="2">
        <f>SUMIFS(BASE_DATOS!F:F,BASE_DATOS!A:A,"Junio",BASE_DATOS!D:D,"Membresías",BASE_DATOS!C:C,"EGRESO")</f>
        <v/>
      </c>
    </row>
    <row r="10">
      <c r="A10" s="6" t="inlineStr">
        <is>
          <t>Ingresos varios</t>
        </is>
      </c>
      <c r="B10" s="6">
        <f>SUMIFS(BASE_DATOS!F:F,BASE_DATOS!A:A,"Junio",BASE_DATOS!D:D,"Ingresos varios",BASE_DATOS!C:C,"INGRESO")</f>
        <v/>
      </c>
      <c r="C10" s="6">
        <f>SUMIFS(BASE_DATOS!F:F,BASE_DATOS!A:A,"Junio",BASE_DATOS!D:D,"Ingresos varios",BASE_DATOS!C:C,"EGRESO")</f>
        <v/>
      </c>
    </row>
    <row r="11">
      <c r="A11" s="7" t="inlineStr">
        <is>
          <t>GASTOS FIJOS</t>
        </is>
      </c>
      <c r="B11" s="2" t="n"/>
      <c r="C11" s="2" t="n"/>
    </row>
    <row r="12">
      <c r="A12" s="6" t="inlineStr">
        <is>
          <t>Renta</t>
        </is>
      </c>
      <c r="B12" s="6">
        <f>SUMIFS(BASE_DATOS!F:F,BASE_DATOS!A:A,"Junio",BASE_DATOS!D:D,"Renta",BASE_DATOS!C:C,"INGRESO")</f>
        <v/>
      </c>
      <c r="C12" s="6">
        <f>SUMIFS(BASE_DATOS!F:F,BASE_DATOS!A:A,"Junio",BASE_DATOS!D:D,"Renta",BASE_DATOS!C:C,"EGRESO")</f>
        <v/>
      </c>
    </row>
    <row r="13">
      <c r="A13" s="2" t="inlineStr">
        <is>
          <t>Nómina</t>
        </is>
      </c>
      <c r="B13" s="2">
        <f>SUMIFS(BASE_DATOS!F:F,BASE_DATOS!A:A,"Junio",BASE_DATOS!D:D,"Nómina",BASE_DATOS!C:C,"INGRESO")</f>
        <v/>
      </c>
      <c r="C13" s="2">
        <f>SUMIFS(BASE_DATOS!F:F,BASE_DATOS!A:A,"Junio",BASE_DATOS!D:D,"Nómina",BASE_DATOS!C:C,"EGRESO")</f>
        <v/>
      </c>
    </row>
    <row r="14">
      <c r="A14" s="6" t="inlineStr">
        <is>
          <t>Suscripciones</t>
        </is>
      </c>
      <c r="B14" s="6">
        <f>SUMIFS(BASE_DATOS!F:F,BASE_DATOS!A:A,"Junio",BASE_DATOS!D:D,"Suscripciones",BASE_DATOS!C:C,"INGRESO")</f>
        <v/>
      </c>
      <c r="C14" s="6">
        <f>SUMIFS(BASE_DATOS!F:F,BASE_DATOS!A:A,"Junio",BASE_DATOS!D:D,"Suscripciones",BASE_DATOS!C:C,"EGRESO")</f>
        <v/>
      </c>
    </row>
    <row r="15">
      <c r="A15" s="2" t="inlineStr">
        <is>
          <t>Servicios (luz/agua/internet)</t>
        </is>
      </c>
      <c r="B15" s="2">
        <f>SUMIFS(BASE_DATOS!F:F,BASE_DATOS!A:A,"Junio",BASE_DATOS!D:D,"Servicios (luz/agua/internet)",BASE_DATOS!C:C,"INGRESO")</f>
        <v/>
      </c>
      <c r="C15" s="2">
        <f>SUMIFS(BASE_DATOS!F:F,BASE_DATOS!A:A,"Junio",BASE_DATOS!D:D,"Servicios (luz/agua/internet)",BASE_DATOS!C:C,"EGRESO")</f>
        <v/>
      </c>
    </row>
    <row r="16">
      <c r="A16" s="6" t="inlineStr">
        <is>
          <t>Contabilidad / legal</t>
        </is>
      </c>
      <c r="B16" s="6">
        <f>SUMIFS(BASE_DATOS!F:F,BASE_DATOS!A:A,"Junio",BASE_DATOS!D:D,"Contabilidad / legal",BASE_DATOS!C:C,"INGRESO")</f>
        <v/>
      </c>
      <c r="C16" s="6">
        <f>SUMIFS(BASE_DATOS!F:F,BASE_DATOS!A:A,"Junio",BASE_DATOS!D:D,"Contabilidad / legal",BASE_DATOS!C:C,"EGRESO")</f>
        <v/>
      </c>
    </row>
    <row r="17">
      <c r="A17" s="7" t="inlineStr">
        <is>
          <t>GASTOS VARIABLES</t>
        </is>
      </c>
      <c r="B17" s="2" t="n"/>
      <c r="C17" s="2" t="n"/>
    </row>
    <row r="18">
      <c r="A18" s="6" t="inlineStr">
        <is>
          <t>Marketing / Ads</t>
        </is>
      </c>
      <c r="B18" s="6">
        <f>SUMIFS(BASE_DATOS!F:F,BASE_DATOS!A:A,"Junio",BASE_DATOS!D:D,"Marketing / Ads",BASE_DATOS!C:C,"INGRESO")</f>
        <v/>
      </c>
      <c r="C18" s="6">
        <f>SUMIFS(BASE_DATOS!F:F,BASE_DATOS!A:A,"Junio",BASE_DATOS!D:D,"Marketing / Ads",BASE_DATOS!C:C,"EGRESO")</f>
        <v/>
      </c>
    </row>
    <row r="19">
      <c r="A19" s="2" t="inlineStr">
        <is>
          <t>Inventario</t>
        </is>
      </c>
      <c r="B19" s="2">
        <f>SUMIFS(BASE_DATOS!F:F,BASE_DATOS!A:A,"Junio",BASE_DATOS!D:D,"Inventario",BASE_DATOS!C:C,"INGRESO")</f>
        <v/>
      </c>
      <c r="C19" s="2">
        <f>SUMIFS(BASE_DATOS!F:F,BASE_DATOS!A:A,"Junio",BASE_DATOS!D:D,"Inventario",BASE_DATOS!C:C,"EGRESO")</f>
        <v/>
      </c>
    </row>
    <row r="20">
      <c r="A20" s="6" t="inlineStr">
        <is>
          <t>Envíos</t>
        </is>
      </c>
      <c r="B20" s="6">
        <f>SUMIFS(BASE_DATOS!F:F,BASE_DATOS!A:A,"Junio",BASE_DATOS!D:D,"Envíos",BASE_DATOS!C:C,"INGRESO")</f>
        <v/>
      </c>
      <c r="C20" s="6">
        <f>SUMIFS(BASE_DATOS!F:F,BASE_DATOS!A:A,"Junio",BASE_DATOS!D:D,"Envíos",BASE_DATOS!C:C,"EGRESO")</f>
        <v/>
      </c>
    </row>
    <row r="21">
      <c r="A21" s="2" t="inlineStr">
        <is>
          <t>Materiales</t>
        </is>
      </c>
      <c r="B21" s="2">
        <f>SUMIFS(BASE_DATOS!F:F,BASE_DATOS!A:A,"Junio",BASE_DATOS!D:D,"Materiales",BASE_DATOS!C:C,"INGRESO")</f>
        <v/>
      </c>
      <c r="C21" s="2">
        <f>SUMIFS(BASE_DATOS!F:F,BASE_DATOS!A:A,"Junio",BASE_DATOS!D:D,"Materiales",BASE_DATOS!C:C,"EGRESO")</f>
        <v/>
      </c>
    </row>
    <row r="22">
      <c r="A22" s="6" t="inlineStr">
        <is>
          <t>Freelancers</t>
        </is>
      </c>
      <c r="B22" s="6">
        <f>SUMIFS(BASE_DATOS!F:F,BASE_DATOS!A:A,"Junio",BASE_DATOS!D:D,"Freelancers",BASE_DATOS!C:C,"INGRESO")</f>
        <v/>
      </c>
      <c r="C22" s="6">
        <f>SUMIFS(BASE_DATOS!F:F,BASE_DATOS!A:A,"Junio",BASE_DATOS!D:D,"Freelancers",BASE_DATOS!C:C,"EGRESO")</f>
        <v/>
      </c>
    </row>
    <row r="23">
      <c r="A23" s="2" t="inlineStr">
        <is>
          <t>Otros gastos variables</t>
        </is>
      </c>
      <c r="B23" s="2">
        <f>SUMIFS(BASE_DATOS!F:F,BASE_DATOS!A:A,"Junio",BASE_DATOS!D:D,"Otros gastos variables",BASE_DATOS!C:C,"INGRESO")</f>
        <v/>
      </c>
      <c r="C23" s="2">
        <f>SUMIFS(BASE_DATOS!F:F,BASE_DATOS!A:A,"Junio",BASE_DATOS!D:D,"Otros gastos variables",BASE_DATOS!C:C,"EGRESO")</f>
        <v/>
      </c>
    </row>
    <row r="24">
      <c r="A24" s="8" t="inlineStr">
        <is>
          <t>TOTAL INGRESOS</t>
        </is>
      </c>
      <c r="B24" s="8">
        <f>SUM(B5:B23)</f>
        <v/>
      </c>
      <c r="C24" s="6" t="n"/>
    </row>
    <row r="25">
      <c r="A25" s="9" t="inlineStr">
        <is>
          <t>TOTAL EGRESOS</t>
        </is>
      </c>
      <c r="B25" s="2" t="n"/>
      <c r="C25" s="9">
        <f>SUM(C5:C23)</f>
        <v/>
      </c>
    </row>
    <row r="26">
      <c r="A26" s="8" t="inlineStr">
        <is>
          <t>FLUJO NETO DEL MES</t>
        </is>
      </c>
      <c r="B26" s="8">
        <f>B24-C25</f>
        <v/>
      </c>
      <c r="C26" s="6" t="n"/>
    </row>
    <row r="27">
      <c r="A27" s="2" t="n"/>
      <c r="B27" s="2" t="n"/>
      <c r="C27" s="2" t="n"/>
    </row>
    <row r="28">
      <c r="A28" s="6" t="inlineStr">
        <is>
          <t>SALDO INICIAL</t>
        </is>
      </c>
      <c r="B28" s="6" t="n">
        <v>0</v>
      </c>
      <c r="C28" s="6" t="n"/>
    </row>
    <row r="29">
      <c r="A29" s="2" t="inlineStr">
        <is>
          <t>SALDO FINAL</t>
        </is>
      </c>
      <c r="B29" s="9">
        <f>B28+B26</f>
        <v/>
      </c>
      <c r="C29" s="2" t="n"/>
    </row>
  </sheetData>
  <mergeCells count="4">
    <mergeCell ref="A1:D1"/>
    <mergeCell ref="A4:C4"/>
    <mergeCell ref="A11:C11"/>
    <mergeCell ref="A17:C17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D29"/>
  <sheetViews>
    <sheetView workbookViewId="0">
      <selection activeCell="A1" sqref="A1"/>
    </sheetView>
  </sheetViews>
  <sheetFormatPr baseColWidth="8" defaultRowHeight="15"/>
  <cols>
    <col width="26" customWidth="1" min="1" max="1"/>
    <col width="26" customWidth="1" min="2" max="2"/>
    <col width="26" customWidth="1" min="3" max="3"/>
  </cols>
  <sheetData>
    <row r="1">
      <c r="A1" s="3" t="inlineStr">
        <is>
          <t>FLUJO DE CAJA - Julio</t>
        </is>
      </c>
    </row>
    <row r="3">
      <c r="A3" s="4" t="inlineStr">
        <is>
          <t>CATEGORÍA</t>
        </is>
      </c>
      <c r="B3" s="4" t="inlineStr">
        <is>
          <t>INGRESOS</t>
        </is>
      </c>
      <c r="C3" s="4" t="inlineStr">
        <is>
          <t>EGRESOS</t>
        </is>
      </c>
    </row>
    <row r="4">
      <c r="A4" s="5" t="inlineStr">
        <is>
          <t>INGRESOS</t>
        </is>
      </c>
      <c r="B4" s="6" t="n"/>
      <c r="C4" s="6" t="n"/>
    </row>
    <row r="5">
      <c r="A5" s="2" t="inlineStr">
        <is>
          <t>Ventas (productos)</t>
        </is>
      </c>
      <c r="B5" s="2">
        <f>SUMIFS(BASE_DATOS!F:F,BASE_DATOS!A:A,"Julio",BASE_DATOS!D:D,"Ventas (productos)",BASE_DATOS!C:C,"INGRESO")</f>
        <v/>
      </c>
      <c r="C5" s="2">
        <f>SUMIFS(BASE_DATOS!F:F,BASE_DATOS!A:A,"Julio",BASE_DATOS!D:D,"Ventas (productos)",BASE_DATOS!C:C,"EGRESO")</f>
        <v/>
      </c>
    </row>
    <row r="6">
      <c r="A6" s="6" t="inlineStr">
        <is>
          <t>Servicios profesionales</t>
        </is>
      </c>
      <c r="B6" s="6">
        <f>SUMIFS(BASE_DATOS!F:F,BASE_DATOS!A:A,"Julio",BASE_DATOS!D:D,"Servicios profesionales",BASE_DATOS!C:C,"INGRESO")</f>
        <v/>
      </c>
      <c r="C6" s="6">
        <f>SUMIFS(BASE_DATOS!F:F,BASE_DATOS!A:A,"Julio",BASE_DATOS!D:D,"Servicios profesionales",BASE_DATOS!C:C,"EGRESO")</f>
        <v/>
      </c>
    </row>
    <row r="7">
      <c r="A7" s="2" t="inlineStr">
        <is>
          <t>Afiliados</t>
        </is>
      </c>
      <c r="B7" s="2">
        <f>SUMIFS(BASE_DATOS!F:F,BASE_DATOS!A:A,"Julio",BASE_DATOS!D:D,"Afiliados",BASE_DATOS!C:C,"INGRESO")</f>
        <v/>
      </c>
      <c r="C7" s="2">
        <f>SUMIFS(BASE_DATOS!F:F,BASE_DATOS!A:A,"Julio",BASE_DATOS!D:D,"Afiliados",BASE_DATOS!C:C,"EGRESO")</f>
        <v/>
      </c>
    </row>
    <row r="8">
      <c r="A8" s="6" t="inlineStr">
        <is>
          <t>Cursos digitales</t>
        </is>
      </c>
      <c r="B8" s="6">
        <f>SUMIFS(BASE_DATOS!F:F,BASE_DATOS!A:A,"Julio",BASE_DATOS!D:D,"Cursos digitales",BASE_DATOS!C:C,"INGRESO")</f>
        <v/>
      </c>
      <c r="C8" s="6">
        <f>SUMIFS(BASE_DATOS!F:F,BASE_DATOS!A:A,"Julio",BASE_DATOS!D:D,"Cursos digitales",BASE_DATOS!C:C,"EGRESO")</f>
        <v/>
      </c>
    </row>
    <row r="9">
      <c r="A9" s="2" t="inlineStr">
        <is>
          <t>Membresías</t>
        </is>
      </c>
      <c r="B9" s="2">
        <f>SUMIFS(BASE_DATOS!F:F,BASE_DATOS!A:A,"Julio",BASE_DATOS!D:D,"Membresías",BASE_DATOS!C:C,"INGRESO")</f>
        <v/>
      </c>
      <c r="C9" s="2">
        <f>SUMIFS(BASE_DATOS!F:F,BASE_DATOS!A:A,"Julio",BASE_DATOS!D:D,"Membresías",BASE_DATOS!C:C,"EGRESO")</f>
        <v/>
      </c>
    </row>
    <row r="10">
      <c r="A10" s="6" t="inlineStr">
        <is>
          <t>Ingresos varios</t>
        </is>
      </c>
      <c r="B10" s="6">
        <f>SUMIFS(BASE_DATOS!F:F,BASE_DATOS!A:A,"Julio",BASE_DATOS!D:D,"Ingresos varios",BASE_DATOS!C:C,"INGRESO")</f>
        <v/>
      </c>
      <c r="C10" s="6">
        <f>SUMIFS(BASE_DATOS!F:F,BASE_DATOS!A:A,"Julio",BASE_DATOS!D:D,"Ingresos varios",BASE_DATOS!C:C,"EGRESO")</f>
        <v/>
      </c>
    </row>
    <row r="11">
      <c r="A11" s="7" t="inlineStr">
        <is>
          <t>GASTOS FIJOS</t>
        </is>
      </c>
      <c r="B11" s="2" t="n"/>
      <c r="C11" s="2" t="n"/>
    </row>
    <row r="12">
      <c r="A12" s="6" t="inlineStr">
        <is>
          <t>Renta</t>
        </is>
      </c>
      <c r="B12" s="6">
        <f>SUMIFS(BASE_DATOS!F:F,BASE_DATOS!A:A,"Julio",BASE_DATOS!D:D,"Renta",BASE_DATOS!C:C,"INGRESO")</f>
        <v/>
      </c>
      <c r="C12" s="6">
        <f>SUMIFS(BASE_DATOS!F:F,BASE_DATOS!A:A,"Julio",BASE_DATOS!D:D,"Renta",BASE_DATOS!C:C,"EGRESO")</f>
        <v/>
      </c>
    </row>
    <row r="13">
      <c r="A13" s="2" t="inlineStr">
        <is>
          <t>Nómina</t>
        </is>
      </c>
      <c r="B13" s="2">
        <f>SUMIFS(BASE_DATOS!F:F,BASE_DATOS!A:A,"Julio",BASE_DATOS!D:D,"Nómina",BASE_DATOS!C:C,"INGRESO")</f>
        <v/>
      </c>
      <c r="C13" s="2">
        <f>SUMIFS(BASE_DATOS!F:F,BASE_DATOS!A:A,"Julio",BASE_DATOS!D:D,"Nómina",BASE_DATOS!C:C,"EGRESO")</f>
        <v/>
      </c>
    </row>
    <row r="14">
      <c r="A14" s="6" t="inlineStr">
        <is>
          <t>Suscripciones</t>
        </is>
      </c>
      <c r="B14" s="6">
        <f>SUMIFS(BASE_DATOS!F:F,BASE_DATOS!A:A,"Julio",BASE_DATOS!D:D,"Suscripciones",BASE_DATOS!C:C,"INGRESO")</f>
        <v/>
      </c>
      <c r="C14" s="6">
        <f>SUMIFS(BASE_DATOS!F:F,BASE_DATOS!A:A,"Julio",BASE_DATOS!D:D,"Suscripciones",BASE_DATOS!C:C,"EGRESO")</f>
        <v/>
      </c>
    </row>
    <row r="15">
      <c r="A15" s="2" t="inlineStr">
        <is>
          <t>Servicios (luz/agua/internet)</t>
        </is>
      </c>
      <c r="B15" s="2">
        <f>SUMIFS(BASE_DATOS!F:F,BASE_DATOS!A:A,"Julio",BASE_DATOS!D:D,"Servicios (luz/agua/internet)",BASE_DATOS!C:C,"INGRESO")</f>
        <v/>
      </c>
      <c r="C15" s="2">
        <f>SUMIFS(BASE_DATOS!F:F,BASE_DATOS!A:A,"Julio",BASE_DATOS!D:D,"Servicios (luz/agua/internet)",BASE_DATOS!C:C,"EGRESO")</f>
        <v/>
      </c>
    </row>
    <row r="16">
      <c r="A16" s="6" t="inlineStr">
        <is>
          <t>Contabilidad / legal</t>
        </is>
      </c>
      <c r="B16" s="6">
        <f>SUMIFS(BASE_DATOS!F:F,BASE_DATOS!A:A,"Julio",BASE_DATOS!D:D,"Contabilidad / legal",BASE_DATOS!C:C,"INGRESO")</f>
        <v/>
      </c>
      <c r="C16" s="6">
        <f>SUMIFS(BASE_DATOS!F:F,BASE_DATOS!A:A,"Julio",BASE_DATOS!D:D,"Contabilidad / legal",BASE_DATOS!C:C,"EGRESO")</f>
        <v/>
      </c>
    </row>
    <row r="17">
      <c r="A17" s="7" t="inlineStr">
        <is>
          <t>GASTOS VARIABLES</t>
        </is>
      </c>
      <c r="B17" s="2" t="n"/>
      <c r="C17" s="2" t="n"/>
    </row>
    <row r="18">
      <c r="A18" s="6" t="inlineStr">
        <is>
          <t>Marketing / Ads</t>
        </is>
      </c>
      <c r="B18" s="6">
        <f>SUMIFS(BASE_DATOS!F:F,BASE_DATOS!A:A,"Julio",BASE_DATOS!D:D,"Marketing / Ads",BASE_DATOS!C:C,"INGRESO")</f>
        <v/>
      </c>
      <c r="C18" s="6">
        <f>SUMIFS(BASE_DATOS!F:F,BASE_DATOS!A:A,"Julio",BASE_DATOS!D:D,"Marketing / Ads",BASE_DATOS!C:C,"EGRESO")</f>
        <v/>
      </c>
    </row>
    <row r="19">
      <c r="A19" s="2" t="inlineStr">
        <is>
          <t>Inventario</t>
        </is>
      </c>
      <c r="B19" s="2">
        <f>SUMIFS(BASE_DATOS!F:F,BASE_DATOS!A:A,"Julio",BASE_DATOS!D:D,"Inventario",BASE_DATOS!C:C,"INGRESO")</f>
        <v/>
      </c>
      <c r="C19" s="2">
        <f>SUMIFS(BASE_DATOS!F:F,BASE_DATOS!A:A,"Julio",BASE_DATOS!D:D,"Inventario",BASE_DATOS!C:C,"EGRESO")</f>
        <v/>
      </c>
    </row>
    <row r="20">
      <c r="A20" s="6" t="inlineStr">
        <is>
          <t>Envíos</t>
        </is>
      </c>
      <c r="B20" s="6">
        <f>SUMIFS(BASE_DATOS!F:F,BASE_DATOS!A:A,"Julio",BASE_DATOS!D:D,"Envíos",BASE_DATOS!C:C,"INGRESO")</f>
        <v/>
      </c>
      <c r="C20" s="6">
        <f>SUMIFS(BASE_DATOS!F:F,BASE_DATOS!A:A,"Julio",BASE_DATOS!D:D,"Envíos",BASE_DATOS!C:C,"EGRESO")</f>
        <v/>
      </c>
    </row>
    <row r="21">
      <c r="A21" s="2" t="inlineStr">
        <is>
          <t>Materiales</t>
        </is>
      </c>
      <c r="B21" s="2">
        <f>SUMIFS(BASE_DATOS!F:F,BASE_DATOS!A:A,"Julio",BASE_DATOS!D:D,"Materiales",BASE_DATOS!C:C,"INGRESO")</f>
        <v/>
      </c>
      <c r="C21" s="2">
        <f>SUMIFS(BASE_DATOS!F:F,BASE_DATOS!A:A,"Julio",BASE_DATOS!D:D,"Materiales",BASE_DATOS!C:C,"EGRESO")</f>
        <v/>
      </c>
    </row>
    <row r="22">
      <c r="A22" s="6" t="inlineStr">
        <is>
          <t>Freelancers</t>
        </is>
      </c>
      <c r="B22" s="6">
        <f>SUMIFS(BASE_DATOS!F:F,BASE_DATOS!A:A,"Julio",BASE_DATOS!D:D,"Freelancers",BASE_DATOS!C:C,"INGRESO")</f>
        <v/>
      </c>
      <c r="C22" s="6">
        <f>SUMIFS(BASE_DATOS!F:F,BASE_DATOS!A:A,"Julio",BASE_DATOS!D:D,"Freelancers",BASE_DATOS!C:C,"EGRESO")</f>
        <v/>
      </c>
    </row>
    <row r="23">
      <c r="A23" s="2" t="inlineStr">
        <is>
          <t>Otros gastos variables</t>
        </is>
      </c>
      <c r="B23" s="2">
        <f>SUMIFS(BASE_DATOS!F:F,BASE_DATOS!A:A,"Julio",BASE_DATOS!D:D,"Otros gastos variables",BASE_DATOS!C:C,"INGRESO")</f>
        <v/>
      </c>
      <c r="C23" s="2">
        <f>SUMIFS(BASE_DATOS!F:F,BASE_DATOS!A:A,"Julio",BASE_DATOS!D:D,"Otros gastos variables",BASE_DATOS!C:C,"EGRESO")</f>
        <v/>
      </c>
    </row>
    <row r="24">
      <c r="A24" s="8" t="inlineStr">
        <is>
          <t>TOTAL INGRESOS</t>
        </is>
      </c>
      <c r="B24" s="8">
        <f>SUM(B5:B23)</f>
        <v/>
      </c>
      <c r="C24" s="6" t="n"/>
    </row>
    <row r="25">
      <c r="A25" s="9" t="inlineStr">
        <is>
          <t>TOTAL EGRESOS</t>
        </is>
      </c>
      <c r="B25" s="2" t="n"/>
      <c r="C25" s="9">
        <f>SUM(C5:C23)</f>
        <v/>
      </c>
    </row>
    <row r="26">
      <c r="A26" s="8" t="inlineStr">
        <is>
          <t>FLUJO NETO DEL MES</t>
        </is>
      </c>
      <c r="B26" s="8">
        <f>B24-C25</f>
        <v/>
      </c>
      <c r="C26" s="6" t="n"/>
    </row>
    <row r="27">
      <c r="A27" s="2" t="n"/>
      <c r="B27" s="2" t="n"/>
      <c r="C27" s="2" t="n"/>
    </row>
    <row r="28">
      <c r="A28" s="6" t="inlineStr">
        <is>
          <t>SALDO INICIAL</t>
        </is>
      </c>
      <c r="B28" s="6" t="n">
        <v>0</v>
      </c>
      <c r="C28" s="6" t="n"/>
    </row>
    <row r="29">
      <c r="A29" s="2" t="inlineStr">
        <is>
          <t>SALDO FINAL</t>
        </is>
      </c>
      <c r="B29" s="9">
        <f>B28+B26</f>
        <v/>
      </c>
      <c r="C29" s="2" t="n"/>
    </row>
  </sheetData>
  <mergeCells count="4">
    <mergeCell ref="A1:D1"/>
    <mergeCell ref="A4:C4"/>
    <mergeCell ref="A11:C11"/>
    <mergeCell ref="A17:C17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29"/>
  <sheetViews>
    <sheetView workbookViewId="0">
      <selection activeCell="A1" sqref="A1"/>
    </sheetView>
  </sheetViews>
  <sheetFormatPr baseColWidth="8" defaultRowHeight="15"/>
  <cols>
    <col width="26" customWidth="1" min="1" max="1"/>
    <col width="26" customWidth="1" min="2" max="2"/>
    <col width="26" customWidth="1" min="3" max="3"/>
  </cols>
  <sheetData>
    <row r="1">
      <c r="A1" s="3" t="inlineStr">
        <is>
          <t>FLUJO DE CAJA - Agosto</t>
        </is>
      </c>
    </row>
    <row r="3">
      <c r="A3" s="4" t="inlineStr">
        <is>
          <t>CATEGORÍA</t>
        </is>
      </c>
      <c r="B3" s="4" t="inlineStr">
        <is>
          <t>INGRESOS</t>
        </is>
      </c>
      <c r="C3" s="4" t="inlineStr">
        <is>
          <t>EGRESOS</t>
        </is>
      </c>
    </row>
    <row r="4">
      <c r="A4" s="5" t="inlineStr">
        <is>
          <t>INGRESOS</t>
        </is>
      </c>
      <c r="B4" s="6" t="n"/>
      <c r="C4" s="6" t="n"/>
    </row>
    <row r="5">
      <c r="A5" s="2" t="inlineStr">
        <is>
          <t>Ventas (productos)</t>
        </is>
      </c>
      <c r="B5" s="2">
        <f>SUMIFS(BASE_DATOS!F:F,BASE_DATOS!A:A,"Agosto",BASE_DATOS!D:D,"Ventas (productos)",BASE_DATOS!C:C,"INGRESO")</f>
        <v/>
      </c>
      <c r="C5" s="2">
        <f>SUMIFS(BASE_DATOS!F:F,BASE_DATOS!A:A,"Agosto",BASE_DATOS!D:D,"Ventas (productos)",BASE_DATOS!C:C,"EGRESO")</f>
        <v/>
      </c>
    </row>
    <row r="6">
      <c r="A6" s="6" t="inlineStr">
        <is>
          <t>Servicios profesionales</t>
        </is>
      </c>
      <c r="B6" s="6">
        <f>SUMIFS(BASE_DATOS!F:F,BASE_DATOS!A:A,"Agosto",BASE_DATOS!D:D,"Servicios profesionales",BASE_DATOS!C:C,"INGRESO")</f>
        <v/>
      </c>
      <c r="C6" s="6">
        <f>SUMIFS(BASE_DATOS!F:F,BASE_DATOS!A:A,"Agosto",BASE_DATOS!D:D,"Servicios profesionales",BASE_DATOS!C:C,"EGRESO")</f>
        <v/>
      </c>
    </row>
    <row r="7">
      <c r="A7" s="2" t="inlineStr">
        <is>
          <t>Afiliados</t>
        </is>
      </c>
      <c r="B7" s="2">
        <f>SUMIFS(BASE_DATOS!F:F,BASE_DATOS!A:A,"Agosto",BASE_DATOS!D:D,"Afiliados",BASE_DATOS!C:C,"INGRESO")</f>
        <v/>
      </c>
      <c r="C7" s="2">
        <f>SUMIFS(BASE_DATOS!F:F,BASE_DATOS!A:A,"Agosto",BASE_DATOS!D:D,"Afiliados",BASE_DATOS!C:C,"EGRESO")</f>
        <v/>
      </c>
    </row>
    <row r="8">
      <c r="A8" s="6" t="inlineStr">
        <is>
          <t>Cursos digitales</t>
        </is>
      </c>
      <c r="B8" s="6">
        <f>SUMIFS(BASE_DATOS!F:F,BASE_DATOS!A:A,"Agosto",BASE_DATOS!D:D,"Cursos digitales",BASE_DATOS!C:C,"INGRESO")</f>
        <v/>
      </c>
      <c r="C8" s="6">
        <f>SUMIFS(BASE_DATOS!F:F,BASE_DATOS!A:A,"Agosto",BASE_DATOS!D:D,"Cursos digitales",BASE_DATOS!C:C,"EGRESO")</f>
        <v/>
      </c>
    </row>
    <row r="9">
      <c r="A9" s="2" t="inlineStr">
        <is>
          <t>Membresías</t>
        </is>
      </c>
      <c r="B9" s="2">
        <f>SUMIFS(BASE_DATOS!F:F,BASE_DATOS!A:A,"Agosto",BASE_DATOS!D:D,"Membresías",BASE_DATOS!C:C,"INGRESO")</f>
        <v/>
      </c>
      <c r="C9" s="2">
        <f>SUMIFS(BASE_DATOS!F:F,BASE_DATOS!A:A,"Agosto",BASE_DATOS!D:D,"Membresías",BASE_DATOS!C:C,"EGRESO")</f>
        <v/>
      </c>
    </row>
    <row r="10">
      <c r="A10" s="6" t="inlineStr">
        <is>
          <t>Ingresos varios</t>
        </is>
      </c>
      <c r="B10" s="6">
        <f>SUMIFS(BASE_DATOS!F:F,BASE_DATOS!A:A,"Agosto",BASE_DATOS!D:D,"Ingresos varios",BASE_DATOS!C:C,"INGRESO")</f>
        <v/>
      </c>
      <c r="C10" s="6">
        <f>SUMIFS(BASE_DATOS!F:F,BASE_DATOS!A:A,"Agosto",BASE_DATOS!D:D,"Ingresos varios",BASE_DATOS!C:C,"EGRESO")</f>
        <v/>
      </c>
    </row>
    <row r="11">
      <c r="A11" s="7" t="inlineStr">
        <is>
          <t>GASTOS FIJOS</t>
        </is>
      </c>
      <c r="B11" s="2" t="n"/>
      <c r="C11" s="2" t="n"/>
    </row>
    <row r="12">
      <c r="A12" s="6" t="inlineStr">
        <is>
          <t>Renta</t>
        </is>
      </c>
      <c r="B12" s="6">
        <f>SUMIFS(BASE_DATOS!F:F,BASE_DATOS!A:A,"Agosto",BASE_DATOS!D:D,"Renta",BASE_DATOS!C:C,"INGRESO")</f>
        <v/>
      </c>
      <c r="C12" s="6">
        <f>SUMIFS(BASE_DATOS!F:F,BASE_DATOS!A:A,"Agosto",BASE_DATOS!D:D,"Renta",BASE_DATOS!C:C,"EGRESO")</f>
        <v/>
      </c>
    </row>
    <row r="13">
      <c r="A13" s="2" t="inlineStr">
        <is>
          <t>Nómina</t>
        </is>
      </c>
      <c r="B13" s="2">
        <f>SUMIFS(BASE_DATOS!F:F,BASE_DATOS!A:A,"Agosto",BASE_DATOS!D:D,"Nómina",BASE_DATOS!C:C,"INGRESO")</f>
        <v/>
      </c>
      <c r="C13" s="2">
        <f>SUMIFS(BASE_DATOS!F:F,BASE_DATOS!A:A,"Agosto",BASE_DATOS!D:D,"Nómina",BASE_DATOS!C:C,"EGRESO")</f>
        <v/>
      </c>
    </row>
    <row r="14">
      <c r="A14" s="6" t="inlineStr">
        <is>
          <t>Suscripciones</t>
        </is>
      </c>
      <c r="B14" s="6">
        <f>SUMIFS(BASE_DATOS!F:F,BASE_DATOS!A:A,"Agosto",BASE_DATOS!D:D,"Suscripciones",BASE_DATOS!C:C,"INGRESO")</f>
        <v/>
      </c>
      <c r="C14" s="6">
        <f>SUMIFS(BASE_DATOS!F:F,BASE_DATOS!A:A,"Agosto",BASE_DATOS!D:D,"Suscripciones",BASE_DATOS!C:C,"EGRESO")</f>
        <v/>
      </c>
    </row>
    <row r="15">
      <c r="A15" s="2" t="inlineStr">
        <is>
          <t>Servicios (luz/agua/internet)</t>
        </is>
      </c>
      <c r="B15" s="2">
        <f>SUMIFS(BASE_DATOS!F:F,BASE_DATOS!A:A,"Agosto",BASE_DATOS!D:D,"Servicios (luz/agua/internet)",BASE_DATOS!C:C,"INGRESO")</f>
        <v/>
      </c>
      <c r="C15" s="2">
        <f>SUMIFS(BASE_DATOS!F:F,BASE_DATOS!A:A,"Agosto",BASE_DATOS!D:D,"Servicios (luz/agua/internet)",BASE_DATOS!C:C,"EGRESO")</f>
        <v/>
      </c>
    </row>
    <row r="16">
      <c r="A16" s="6" t="inlineStr">
        <is>
          <t>Contabilidad / legal</t>
        </is>
      </c>
      <c r="B16" s="6">
        <f>SUMIFS(BASE_DATOS!F:F,BASE_DATOS!A:A,"Agosto",BASE_DATOS!D:D,"Contabilidad / legal",BASE_DATOS!C:C,"INGRESO")</f>
        <v/>
      </c>
      <c r="C16" s="6">
        <f>SUMIFS(BASE_DATOS!F:F,BASE_DATOS!A:A,"Agosto",BASE_DATOS!D:D,"Contabilidad / legal",BASE_DATOS!C:C,"EGRESO")</f>
        <v/>
      </c>
    </row>
    <row r="17">
      <c r="A17" s="7" t="inlineStr">
        <is>
          <t>GASTOS VARIABLES</t>
        </is>
      </c>
      <c r="B17" s="2" t="n"/>
      <c r="C17" s="2" t="n"/>
    </row>
    <row r="18">
      <c r="A18" s="6" t="inlineStr">
        <is>
          <t>Marketing / Ads</t>
        </is>
      </c>
      <c r="B18" s="6">
        <f>SUMIFS(BASE_DATOS!F:F,BASE_DATOS!A:A,"Agosto",BASE_DATOS!D:D,"Marketing / Ads",BASE_DATOS!C:C,"INGRESO")</f>
        <v/>
      </c>
      <c r="C18" s="6">
        <f>SUMIFS(BASE_DATOS!F:F,BASE_DATOS!A:A,"Agosto",BASE_DATOS!D:D,"Marketing / Ads",BASE_DATOS!C:C,"EGRESO")</f>
        <v/>
      </c>
    </row>
    <row r="19">
      <c r="A19" s="2" t="inlineStr">
        <is>
          <t>Inventario</t>
        </is>
      </c>
      <c r="B19" s="2">
        <f>SUMIFS(BASE_DATOS!F:F,BASE_DATOS!A:A,"Agosto",BASE_DATOS!D:D,"Inventario",BASE_DATOS!C:C,"INGRESO")</f>
        <v/>
      </c>
      <c r="C19" s="2">
        <f>SUMIFS(BASE_DATOS!F:F,BASE_DATOS!A:A,"Agosto",BASE_DATOS!D:D,"Inventario",BASE_DATOS!C:C,"EGRESO")</f>
        <v/>
      </c>
    </row>
    <row r="20">
      <c r="A20" s="6" t="inlineStr">
        <is>
          <t>Envíos</t>
        </is>
      </c>
      <c r="B20" s="6">
        <f>SUMIFS(BASE_DATOS!F:F,BASE_DATOS!A:A,"Agosto",BASE_DATOS!D:D,"Envíos",BASE_DATOS!C:C,"INGRESO")</f>
        <v/>
      </c>
      <c r="C20" s="6">
        <f>SUMIFS(BASE_DATOS!F:F,BASE_DATOS!A:A,"Agosto",BASE_DATOS!D:D,"Envíos",BASE_DATOS!C:C,"EGRESO")</f>
        <v/>
      </c>
    </row>
    <row r="21">
      <c r="A21" s="2" t="inlineStr">
        <is>
          <t>Materiales</t>
        </is>
      </c>
      <c r="B21" s="2">
        <f>SUMIFS(BASE_DATOS!F:F,BASE_DATOS!A:A,"Agosto",BASE_DATOS!D:D,"Materiales",BASE_DATOS!C:C,"INGRESO")</f>
        <v/>
      </c>
      <c r="C21" s="2">
        <f>SUMIFS(BASE_DATOS!F:F,BASE_DATOS!A:A,"Agosto",BASE_DATOS!D:D,"Materiales",BASE_DATOS!C:C,"EGRESO")</f>
        <v/>
      </c>
    </row>
    <row r="22">
      <c r="A22" s="6" t="inlineStr">
        <is>
          <t>Freelancers</t>
        </is>
      </c>
      <c r="B22" s="6">
        <f>SUMIFS(BASE_DATOS!F:F,BASE_DATOS!A:A,"Agosto",BASE_DATOS!D:D,"Freelancers",BASE_DATOS!C:C,"INGRESO")</f>
        <v/>
      </c>
      <c r="C22" s="6">
        <f>SUMIFS(BASE_DATOS!F:F,BASE_DATOS!A:A,"Agosto",BASE_DATOS!D:D,"Freelancers",BASE_DATOS!C:C,"EGRESO")</f>
        <v/>
      </c>
    </row>
    <row r="23">
      <c r="A23" s="2" t="inlineStr">
        <is>
          <t>Otros gastos variables</t>
        </is>
      </c>
      <c r="B23" s="2">
        <f>SUMIFS(BASE_DATOS!F:F,BASE_DATOS!A:A,"Agosto",BASE_DATOS!D:D,"Otros gastos variables",BASE_DATOS!C:C,"INGRESO")</f>
        <v/>
      </c>
      <c r="C23" s="2">
        <f>SUMIFS(BASE_DATOS!F:F,BASE_DATOS!A:A,"Agosto",BASE_DATOS!D:D,"Otros gastos variables",BASE_DATOS!C:C,"EGRESO")</f>
        <v/>
      </c>
    </row>
    <row r="24">
      <c r="A24" s="8" t="inlineStr">
        <is>
          <t>TOTAL INGRESOS</t>
        </is>
      </c>
      <c r="B24" s="8">
        <f>SUM(B5:B23)</f>
        <v/>
      </c>
      <c r="C24" s="6" t="n"/>
    </row>
    <row r="25">
      <c r="A25" s="9" t="inlineStr">
        <is>
          <t>TOTAL EGRESOS</t>
        </is>
      </c>
      <c r="B25" s="2" t="n"/>
      <c r="C25" s="9">
        <f>SUM(C5:C23)</f>
        <v/>
      </c>
    </row>
    <row r="26">
      <c r="A26" s="8" t="inlineStr">
        <is>
          <t>FLUJO NETO DEL MES</t>
        </is>
      </c>
      <c r="B26" s="8">
        <f>B24-C25</f>
        <v/>
      </c>
      <c r="C26" s="6" t="n"/>
    </row>
    <row r="27">
      <c r="A27" s="2" t="n"/>
      <c r="B27" s="2" t="n"/>
      <c r="C27" s="2" t="n"/>
    </row>
    <row r="28">
      <c r="A28" s="6" t="inlineStr">
        <is>
          <t>SALDO INICIAL</t>
        </is>
      </c>
      <c r="B28" s="6" t="n">
        <v>0</v>
      </c>
      <c r="C28" s="6" t="n"/>
    </row>
    <row r="29">
      <c r="A29" s="2" t="inlineStr">
        <is>
          <t>SALDO FINAL</t>
        </is>
      </c>
      <c r="B29" s="9">
        <f>B28+B26</f>
        <v/>
      </c>
      <c r="C29" s="2" t="n"/>
    </row>
  </sheetData>
  <mergeCells count="4">
    <mergeCell ref="A1:D1"/>
    <mergeCell ref="A4:C4"/>
    <mergeCell ref="A11:C11"/>
    <mergeCell ref="A17:C1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2025-11-29T15:35:46Z</dcterms:created>
  <dcterms:modified xmlns:dcterms="http://purl.org/dc/terms/" xmlns:xsi="http://www.w3.org/2001/XMLSchema-instance" xsi:type="dcterms:W3CDTF">2025-11-29T15:35:46Z</dcterms:modified>
</cp:coreProperties>
</file>